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-15" yWindow="-15" windowWidth="8265" windowHeight="4950" firstSheet="2" activeTab="9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amni Soil profile" sheetId="10" r:id="rId9"/>
    <sheet name="Maize final" sheetId="11" r:id="rId10"/>
    <sheet name="Sheet13" sheetId="24" r:id="rId11"/>
    <sheet name="Sheet9" sheetId="9" r:id="rId12"/>
    <sheet name="Sheet10" sheetId="22" r:id="rId13"/>
    <sheet name="Sheet15" sheetId="21" r:id="rId14"/>
    <sheet name="Sheet12" sheetId="12" r:id="rId15"/>
    <sheet name="Microplot Final" sheetId="13" r:id="rId16"/>
    <sheet name="Large plot Final" sheetId="17" r:id="rId17"/>
    <sheet name="15 entry final" sheetId="20" r:id="rId18"/>
    <sheet name="Wheat" sheetId="23" r:id="rId19"/>
  </sheets>
  <calcPr calcId="125725"/>
</workbook>
</file>

<file path=xl/calcChain.xml><?xml version="1.0" encoding="utf-8"?>
<calcChain xmlns="http://schemas.openxmlformats.org/spreadsheetml/2006/main">
  <c r="J22" i="24"/>
  <c r="I21"/>
  <c r="J20"/>
  <c r="J19"/>
  <c r="I19"/>
  <c r="I18"/>
  <c r="J17"/>
  <c r="I15"/>
  <c r="H74"/>
  <c r="G74"/>
  <c r="F74"/>
  <c r="E74"/>
  <c r="D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I22"/>
  <c r="I20"/>
  <c r="J18"/>
  <c r="J16"/>
  <c r="I16"/>
  <c r="J15"/>
  <c r="J14"/>
  <c r="I14"/>
  <c r="I13"/>
  <c r="C2" l="1"/>
  <c r="J13"/>
  <c r="I17"/>
  <c r="B74"/>
  <c r="J21"/>
  <c r="I74"/>
  <c r="E4" l="1"/>
  <c r="C4"/>
  <c r="C3" l="1"/>
  <c r="K72" l="1"/>
  <c r="E3"/>
  <c r="C74"/>
  <c r="K37"/>
  <c r="K53"/>
  <c r="K57"/>
  <c r="K31"/>
  <c r="K47"/>
  <c r="K65"/>
  <c r="K15"/>
  <c r="K26"/>
  <c r="K38"/>
  <c r="K54"/>
  <c r="K63"/>
  <c r="K21"/>
  <c r="K29"/>
  <c r="K44"/>
  <c r="K60"/>
  <c r="K13"/>
  <c r="K22"/>
  <c r="K71"/>
  <c r="K36"/>
  <c r="K18"/>
  <c r="K16"/>
  <c r="K14"/>
  <c r="K35"/>
  <c r="K51"/>
  <c r="K69"/>
  <c r="K20"/>
  <c r="K28"/>
  <c r="K42"/>
  <c r="K58"/>
  <c r="K67"/>
  <c r="K23"/>
  <c r="K32"/>
  <c r="K48"/>
  <c r="K62"/>
  <c r="K49"/>
  <c r="K41"/>
  <c r="K59"/>
  <c r="K17"/>
  <c r="K43"/>
  <c r="K61"/>
  <c r="K24"/>
  <c r="K34"/>
  <c r="K50"/>
  <c r="K70"/>
  <c r="K19"/>
  <c r="K27"/>
  <c r="K40"/>
  <c r="K56"/>
  <c r="K68"/>
  <c r="K33"/>
  <c r="K45"/>
  <c r="K39"/>
  <c r="K55"/>
  <c r="K73"/>
  <c r="K30"/>
  <c r="K46"/>
  <c r="K64"/>
  <c r="K25"/>
  <c r="K52"/>
  <c r="K66"/>
  <c r="C6"/>
  <c r="C5"/>
  <c r="E6"/>
  <c r="P11" l="1"/>
  <c r="K3"/>
  <c r="E5"/>
  <c r="F6"/>
  <c r="F3"/>
  <c r="G3" s="1"/>
  <c r="F4"/>
  <c r="G4" s="1"/>
  <c r="F5" l="1"/>
  <c r="G5" s="1"/>
  <c r="P18" s="1"/>
  <c r="I4"/>
  <c r="K4"/>
  <c r="I3"/>
  <c r="P22" l="1"/>
  <c r="P23" s="1"/>
  <c r="P26" s="1"/>
  <c r="P12"/>
  <c r="F7"/>
  <c r="P13" s="1"/>
  <c r="H3"/>
  <c r="L3" s="1"/>
  <c r="H4"/>
  <c r="J4" s="1"/>
  <c r="F10"/>
  <c r="F8"/>
  <c r="F9" s="1"/>
  <c r="P20"/>
  <c r="P24" s="1"/>
  <c r="P19"/>
  <c r="J3"/>
  <c r="L4" l="1"/>
  <c r="P17"/>
  <c r="H9"/>
  <c r="P16"/>
  <c r="P14"/>
  <c r="P15"/>
  <c r="P21"/>
  <c r="P27"/>
  <c r="P25" l="1"/>
  <c r="P28"/>
  <c r="P29" s="1"/>
  <c r="D35" i="23" l="1"/>
  <c r="E35"/>
  <c r="D36"/>
  <c r="E36"/>
  <c r="D37"/>
  <c r="E37"/>
  <c r="D38"/>
  <c r="E38"/>
  <c r="D39"/>
  <c r="E39"/>
  <c r="D40"/>
  <c r="E40"/>
  <c r="D41"/>
  <c r="E41"/>
  <c r="D42"/>
  <c r="E42"/>
  <c r="D43"/>
  <c r="E43"/>
  <c r="E34"/>
  <c r="C35"/>
  <c r="C36"/>
  <c r="C37"/>
  <c r="C38"/>
  <c r="C39"/>
  <c r="C40"/>
  <c r="C41"/>
  <c r="C42"/>
  <c r="C43"/>
  <c r="D34"/>
  <c r="C34"/>
  <c r="F29"/>
  <c r="F24"/>
  <c r="F25"/>
  <c r="F26"/>
  <c r="F27"/>
  <c r="F28"/>
  <c r="F30"/>
  <c r="F31"/>
  <c r="F32"/>
  <c r="F23"/>
  <c r="H109" i="20" l="1"/>
  <c r="G109"/>
  <c r="F109"/>
  <c r="E109"/>
  <c r="D109"/>
  <c r="C109"/>
  <c r="B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48"/>
  <c r="J48"/>
  <c r="I48"/>
  <c r="E39"/>
  <c r="E40" s="1"/>
  <c r="E38"/>
  <c r="K38" s="1"/>
  <c r="C38"/>
  <c r="C37"/>
  <c r="E41" s="1"/>
  <c r="C18"/>
  <c r="D18"/>
  <c r="E18"/>
  <c r="F18"/>
  <c r="G18"/>
  <c r="H18"/>
  <c r="I18"/>
  <c r="B18"/>
  <c r="E34"/>
  <c r="E33"/>
  <c r="E32"/>
  <c r="E31"/>
  <c r="E30"/>
  <c r="E29"/>
  <c r="E28"/>
  <c r="E27"/>
  <c r="E26"/>
  <c r="E25"/>
  <c r="E24"/>
  <c r="E23"/>
  <c r="E22"/>
  <c r="E21"/>
  <c r="E20"/>
  <c r="G19" i="21"/>
  <c r="G18"/>
  <c r="G17"/>
  <c r="G16"/>
  <c r="G15"/>
  <c r="G14"/>
  <c r="G13"/>
  <c r="G12"/>
  <c r="G11"/>
  <c r="G10"/>
  <c r="G9"/>
  <c r="G8"/>
  <c r="G7"/>
  <c r="G6"/>
  <c r="G5"/>
  <c r="K39" i="20" l="1"/>
  <c r="I109"/>
  <c r="I39"/>
  <c r="I38"/>
  <c r="C41" l="1"/>
  <c r="C39"/>
  <c r="C40"/>
  <c r="F41" l="1"/>
  <c r="F38"/>
  <c r="G38" s="1"/>
  <c r="F39"/>
  <c r="G39" s="1"/>
  <c r="H39" l="1"/>
  <c r="F40"/>
  <c r="G40" s="1"/>
  <c r="J39" l="1"/>
  <c r="L39"/>
  <c r="F45"/>
  <c r="F42"/>
  <c r="F43"/>
  <c r="H38"/>
  <c r="J38" l="1"/>
  <c r="L38"/>
  <c r="H44"/>
  <c r="F44"/>
  <c r="N26" i="13" l="1"/>
  <c r="N27"/>
  <c r="N28"/>
  <c r="N29"/>
  <c r="N30"/>
  <c r="N31"/>
  <c r="N32"/>
  <c r="N25"/>
  <c r="I26"/>
  <c r="I27"/>
  <c r="I28"/>
  <c r="I29"/>
  <c r="I30"/>
  <c r="I31"/>
  <c r="I32"/>
  <c r="I25"/>
  <c r="I4"/>
  <c r="I5"/>
  <c r="I6"/>
  <c r="I7"/>
  <c r="I8"/>
  <c r="I9"/>
  <c r="I10"/>
  <c r="I3"/>
  <c r="O3" i="1"/>
  <c r="O4"/>
  <c r="O5"/>
  <c r="O6"/>
  <c r="O7"/>
  <c r="O8"/>
  <c r="O9"/>
  <c r="O10"/>
  <c r="O11"/>
  <c r="O12"/>
  <c r="O13"/>
  <c r="O14"/>
  <c r="O15"/>
  <c r="O2"/>
  <c r="E132" i="9"/>
  <c r="D132"/>
  <c r="L131"/>
  <c r="K131"/>
  <c r="J131"/>
  <c r="E131"/>
  <c r="D131"/>
  <c r="C131"/>
  <c r="F131" s="1"/>
  <c r="L130"/>
  <c r="K130"/>
  <c r="J130"/>
  <c r="E130"/>
  <c r="D130"/>
  <c r="C130"/>
  <c r="L129"/>
  <c r="K129"/>
  <c r="J129"/>
  <c r="E129"/>
  <c r="D129"/>
  <c r="F129" s="1"/>
  <c r="C129"/>
  <c r="L128"/>
  <c r="K128"/>
  <c r="J128"/>
  <c r="E128"/>
  <c r="D128"/>
  <c r="C128"/>
  <c r="L127"/>
  <c r="K127"/>
  <c r="J127"/>
  <c r="E127"/>
  <c r="D127"/>
  <c r="C127"/>
  <c r="F127" s="1"/>
  <c r="L126"/>
  <c r="K126"/>
  <c r="J126"/>
  <c r="E126"/>
  <c r="D126"/>
  <c r="C126"/>
  <c r="F126" s="1"/>
  <c r="L125"/>
  <c r="K125"/>
  <c r="J125"/>
  <c r="Q120"/>
  <c r="L120"/>
  <c r="G120"/>
  <c r="Q119"/>
  <c r="L119"/>
  <c r="G119"/>
  <c r="Q118"/>
  <c r="L118"/>
  <c r="G118"/>
  <c r="Q117"/>
  <c r="L117"/>
  <c r="G117"/>
  <c r="Q116"/>
  <c r="L116"/>
  <c r="G116"/>
  <c r="Q115"/>
  <c r="L115"/>
  <c r="G115"/>
  <c r="Q114"/>
  <c r="L114"/>
  <c r="G114"/>
  <c r="Q108"/>
  <c r="L108"/>
  <c r="G108"/>
  <c r="Q107"/>
  <c r="L107"/>
  <c r="G107"/>
  <c r="Q106"/>
  <c r="L106"/>
  <c r="G106"/>
  <c r="Q105"/>
  <c r="L105"/>
  <c r="G105"/>
  <c r="Q104"/>
  <c r="L104"/>
  <c r="G104"/>
  <c r="Q103"/>
  <c r="L103"/>
  <c r="G103"/>
  <c r="Q102"/>
  <c r="L102"/>
  <c r="G102"/>
  <c r="R96"/>
  <c r="Q96"/>
  <c r="P96"/>
  <c r="O96"/>
  <c r="N96"/>
  <c r="K96"/>
  <c r="J96"/>
  <c r="I96"/>
  <c r="H96"/>
  <c r="G96"/>
  <c r="R95"/>
  <c r="Q95"/>
  <c r="P95"/>
  <c r="O95"/>
  <c r="N95"/>
  <c r="K95"/>
  <c r="J95"/>
  <c r="I95"/>
  <c r="H95"/>
  <c r="G95"/>
  <c r="R94"/>
  <c r="Q94"/>
  <c r="P94"/>
  <c r="O94"/>
  <c r="N94"/>
  <c r="K94"/>
  <c r="J94"/>
  <c r="I94"/>
  <c r="H94"/>
  <c r="G94"/>
  <c r="R93"/>
  <c r="Q93"/>
  <c r="P93"/>
  <c r="O93"/>
  <c r="N93"/>
  <c r="K93"/>
  <c r="J93"/>
  <c r="I93"/>
  <c r="H93"/>
  <c r="G93"/>
  <c r="R92"/>
  <c r="Q92"/>
  <c r="P92"/>
  <c r="O92"/>
  <c r="N92"/>
  <c r="K92"/>
  <c r="J92"/>
  <c r="I92"/>
  <c r="H92"/>
  <c r="G92"/>
  <c r="R91"/>
  <c r="Q91"/>
  <c r="P91"/>
  <c r="O91"/>
  <c r="N91"/>
  <c r="K91"/>
  <c r="J91"/>
  <c r="I91"/>
  <c r="H91"/>
  <c r="G91"/>
  <c r="R90"/>
  <c r="Q90"/>
  <c r="P90"/>
  <c r="O90"/>
  <c r="N90"/>
  <c r="K90"/>
  <c r="J90"/>
  <c r="I90"/>
  <c r="H90"/>
  <c r="G90"/>
  <c r="R89"/>
  <c r="Q89"/>
  <c r="P89"/>
  <c r="O89"/>
  <c r="N89"/>
  <c r="K89"/>
  <c r="J89"/>
  <c r="I89"/>
  <c r="H89"/>
  <c r="G89"/>
  <c r="R88"/>
  <c r="Q88"/>
  <c r="P88"/>
  <c r="O88"/>
  <c r="N88"/>
  <c r="K88"/>
  <c r="J88"/>
  <c r="H88"/>
  <c r="G88"/>
  <c r="R87"/>
  <c r="Q87"/>
  <c r="P87"/>
  <c r="O87"/>
  <c r="N87"/>
  <c r="K87"/>
  <c r="J87"/>
  <c r="I87"/>
  <c r="H87"/>
  <c r="G87"/>
  <c r="R86"/>
  <c r="Q86"/>
  <c r="P86"/>
  <c r="O86"/>
  <c r="N86"/>
  <c r="K86"/>
  <c r="J86"/>
  <c r="I86"/>
  <c r="H86"/>
  <c r="G86"/>
  <c r="R85"/>
  <c r="Q85"/>
  <c r="P85"/>
  <c r="O85"/>
  <c r="N85"/>
  <c r="K85"/>
  <c r="J85"/>
  <c r="I85"/>
  <c r="H85"/>
  <c r="G85"/>
  <c r="R84"/>
  <c r="Q84"/>
  <c r="P84"/>
  <c r="O84"/>
  <c r="N84"/>
  <c r="K84"/>
  <c r="J84"/>
  <c r="I84"/>
  <c r="H84"/>
  <c r="G84"/>
  <c r="R83"/>
  <c r="Q83"/>
  <c r="P83"/>
  <c r="O83"/>
  <c r="N83"/>
  <c r="R82"/>
  <c r="Q82"/>
  <c r="P82"/>
  <c r="O82"/>
  <c r="N82"/>
  <c r="R81"/>
  <c r="Q81"/>
  <c r="P81"/>
  <c r="O81"/>
  <c r="N81"/>
  <c r="K81"/>
  <c r="J81"/>
  <c r="I81"/>
  <c r="H81"/>
  <c r="G81"/>
  <c r="R80"/>
  <c r="Q80"/>
  <c r="P80"/>
  <c r="O80"/>
  <c r="N80"/>
  <c r="K80"/>
  <c r="J80"/>
  <c r="I80"/>
  <c r="H80"/>
  <c r="G80"/>
  <c r="R79"/>
  <c r="Q79"/>
  <c r="P79"/>
  <c r="O79"/>
  <c r="N79"/>
  <c r="K79"/>
  <c r="J79"/>
  <c r="I79"/>
  <c r="H79"/>
  <c r="G79"/>
  <c r="R78"/>
  <c r="Q78"/>
  <c r="P78"/>
  <c r="O78"/>
  <c r="N78"/>
  <c r="K78"/>
  <c r="J78"/>
  <c r="I78"/>
  <c r="H78"/>
  <c r="G78"/>
  <c r="R77"/>
  <c r="Q77"/>
  <c r="P77"/>
  <c r="O77"/>
  <c r="N77"/>
  <c r="K77"/>
  <c r="J77"/>
  <c r="I77"/>
  <c r="H77"/>
  <c r="G77"/>
  <c r="R76"/>
  <c r="Q76"/>
  <c r="P76"/>
  <c r="O76"/>
  <c r="N76"/>
  <c r="K76"/>
  <c r="J76"/>
  <c r="I76"/>
  <c r="H76"/>
  <c r="G76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G5"/>
  <c r="F5"/>
  <c r="E5"/>
  <c r="I31" i="8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I5"/>
  <c r="H5"/>
  <c r="G5"/>
  <c r="I4"/>
  <c r="H4"/>
  <c r="G4"/>
  <c r="I3"/>
  <c r="H3"/>
  <c r="G3"/>
  <c r="I2"/>
  <c r="H2"/>
  <c r="G2"/>
  <c r="S10" i="7"/>
  <c r="R10"/>
  <c r="Q10"/>
  <c r="S9"/>
  <c r="R9"/>
  <c r="Q9"/>
  <c r="S8"/>
  <c r="R8"/>
  <c r="Q8"/>
  <c r="S7"/>
  <c r="R7"/>
  <c r="Q7"/>
  <c r="S6"/>
  <c r="R6"/>
  <c r="Q6"/>
  <c r="S5"/>
  <c r="R5"/>
  <c r="Q5"/>
  <c r="S4"/>
  <c r="R4"/>
  <c r="Q4"/>
  <c r="S3"/>
  <c r="R3"/>
  <c r="Q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F3"/>
  <c r="F4"/>
  <c r="F5"/>
  <c r="F6"/>
  <c r="F7"/>
  <c r="F8"/>
  <c r="F9"/>
  <c r="F10"/>
  <c r="E10"/>
  <c r="D10"/>
  <c r="E9"/>
  <c r="D9"/>
  <c r="E8"/>
  <c r="D8"/>
  <c r="E7"/>
  <c r="D7"/>
  <c r="E6"/>
  <c r="D6"/>
  <c r="E5"/>
  <c r="D5"/>
  <c r="E4"/>
  <c r="D4"/>
  <c r="E3"/>
  <c r="D3"/>
  <c r="F128" i="9" l="1"/>
  <c r="F130"/>
  <c r="F132"/>
</calcChain>
</file>

<file path=xl/comments1.xml><?xml version="1.0" encoding="utf-8"?>
<comments xmlns="http://schemas.openxmlformats.org/spreadsheetml/2006/main">
  <authors>
    <author>Author</author>
  </authors>
  <commentList>
    <comment ref="O1" authorId="0">
      <text>
        <r>
          <rPr>
            <b/>
            <sz val="16"/>
            <color indexed="81"/>
            <rFont val="Tahoma"/>
            <family val="2"/>
          </rPr>
          <t>Author:</t>
        </r>
        <r>
          <rPr>
            <sz val="16"/>
            <color indexed="81"/>
            <rFont val="Tahoma"/>
            <family val="2"/>
          </rPr>
          <t xml:space="preserve">
od/(0.0175 graph*0.5 (sample wt in gram)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graph*70 graph factor/(0.1g sample wt*1000 to covert in mg/g)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herbaceum look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herbaceum look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Rep I data is good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herbaceum look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herbaceum look</t>
        </r>
      </text>
    </comment>
  </commentList>
</comments>
</file>

<file path=xl/sharedStrings.xml><?xml version="1.0" encoding="utf-8"?>
<sst xmlns="http://schemas.openxmlformats.org/spreadsheetml/2006/main" count="1508" uniqueCount="498">
  <si>
    <t>Line</t>
  </si>
  <si>
    <t>detail</t>
  </si>
  <si>
    <t>L1</t>
  </si>
  <si>
    <t>L2</t>
  </si>
  <si>
    <t>L3</t>
  </si>
  <si>
    <t>L4</t>
  </si>
  <si>
    <t>L5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</si>
  <si>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</si>
  <si>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</si>
  <si>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</si>
  <si>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</si>
  <si>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</si>
  <si>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</si>
  <si>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</si>
  <si>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</si>
  <si>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</si>
  <si>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K1</t>
  </si>
  <si>
    <t>NA1</t>
  </si>
  <si>
    <t>K2</t>
  </si>
  <si>
    <t>PHT1</t>
  </si>
  <si>
    <t>PHT2</t>
  </si>
  <si>
    <t>PHT3</t>
  </si>
  <si>
    <t>LINE</t>
  </si>
  <si>
    <t>PHT4</t>
  </si>
  <si>
    <t>PHT5</t>
  </si>
  <si>
    <t>line</t>
  </si>
  <si>
    <t>Var</t>
  </si>
  <si>
    <t>Rep</t>
  </si>
  <si>
    <t>Yld</t>
  </si>
  <si>
    <t>GM-6</t>
  </si>
  <si>
    <t>GAYMAH-1</t>
  </si>
  <si>
    <t>GWL-8</t>
  </si>
  <si>
    <t>GYS-0705</t>
  </si>
  <si>
    <t>DMRQPM 0903</t>
  </si>
  <si>
    <t>CML 260</t>
  </si>
  <si>
    <t>GWL-15</t>
  </si>
  <si>
    <t>Entry</t>
  </si>
  <si>
    <t>Rep #</t>
  </si>
  <si>
    <t>Plot #</t>
  </si>
  <si>
    <t>HYBRID #</t>
  </si>
  <si>
    <t>HYBRID NAME</t>
  </si>
  <si>
    <t>900 M GOLD</t>
  </si>
  <si>
    <t>DKC 7074</t>
  </si>
  <si>
    <t>DKC 8101</t>
  </si>
  <si>
    <t>DKC 9117</t>
  </si>
  <si>
    <t>PRAKASH</t>
  </si>
  <si>
    <t>PMH-4</t>
  </si>
  <si>
    <t>VIVEK HYBRID -9</t>
  </si>
  <si>
    <t>PMH-4(FIRST 2 ROW DCK 8101)</t>
  </si>
  <si>
    <t>VARIETY</t>
  </si>
  <si>
    <t>REPLICATION</t>
  </si>
  <si>
    <t>YIELD</t>
  </si>
  <si>
    <t>SPL AST-1</t>
  </si>
  <si>
    <t>SPL AST-2</t>
  </si>
  <si>
    <t>SPL AST-3</t>
  </si>
  <si>
    <t>SPL AST-4</t>
  </si>
  <si>
    <t>SPL AST-5</t>
  </si>
  <si>
    <t>SPL AST-6</t>
  </si>
  <si>
    <t>SPL AST-7</t>
  </si>
  <si>
    <t>SPL AST-8</t>
  </si>
  <si>
    <t>SPL AST-9</t>
  </si>
  <si>
    <t>SPL AST-10</t>
  </si>
  <si>
    <t>SPL AST-11</t>
  </si>
  <si>
    <t>645 nm</t>
  </si>
  <si>
    <t>663 nm</t>
  </si>
  <si>
    <t>Total chlorophyll</t>
  </si>
  <si>
    <t>Chl a</t>
  </si>
  <si>
    <t>Chl b</t>
  </si>
  <si>
    <t>GBhv 280</t>
  </si>
  <si>
    <t>GBhv 293</t>
  </si>
  <si>
    <t>GBhv 291</t>
  </si>
  <si>
    <t>GBhv 624</t>
  </si>
  <si>
    <t>GShv 233/09</t>
  </si>
  <si>
    <t>GShv 433/08</t>
  </si>
  <si>
    <t>GShv 464/08</t>
  </si>
  <si>
    <t>GShv 538/08</t>
  </si>
  <si>
    <t>GShv 280/11</t>
  </si>
  <si>
    <t>GBhv 287</t>
  </si>
  <si>
    <t>GBhv 297</t>
  </si>
  <si>
    <t>GBhv 2399/09</t>
  </si>
  <si>
    <t>Digvijay</t>
  </si>
  <si>
    <t>G.Cot.23</t>
  </si>
  <si>
    <t>520 nm</t>
  </si>
  <si>
    <t>proline(microgram/gram)</t>
  </si>
  <si>
    <t>red sugar 520</t>
  </si>
  <si>
    <t>sugar mg/g</t>
  </si>
  <si>
    <t>A-1</t>
  </si>
  <si>
    <t>A-2</t>
  </si>
  <si>
    <t>A-3</t>
  </si>
  <si>
    <t>A-4</t>
  </si>
  <si>
    <t>A-5</t>
  </si>
  <si>
    <t>H-3</t>
  </si>
  <si>
    <t>H-4</t>
  </si>
  <si>
    <t>H-10</t>
  </si>
  <si>
    <t>pedigree</t>
  </si>
  <si>
    <t>CNA 347</t>
  </si>
  <si>
    <t>CNA 343</t>
  </si>
  <si>
    <t>CNA 375</t>
  </si>
  <si>
    <t>CNA 398</t>
  </si>
  <si>
    <t>IC 371127</t>
  </si>
  <si>
    <t>IC 371117</t>
  </si>
  <si>
    <t>DTS-123</t>
  </si>
  <si>
    <t>IC 371118</t>
  </si>
  <si>
    <t xml:space="preserve">H-8 </t>
  </si>
  <si>
    <t>H-9 hirst</t>
  </si>
  <si>
    <t>IC 371099</t>
  </si>
  <si>
    <t>total Chl</t>
  </si>
  <si>
    <t>ADC-1</t>
  </si>
  <si>
    <t>V-797</t>
  </si>
  <si>
    <t>WAGAD-8</t>
  </si>
  <si>
    <t>GHETI</t>
  </si>
  <si>
    <t>PEDIGREE</t>
  </si>
  <si>
    <t>GVhv 629</t>
  </si>
  <si>
    <t>GVhv 682</t>
  </si>
  <si>
    <t>GVhv 473</t>
  </si>
  <si>
    <t>GVhv 235</t>
  </si>
  <si>
    <t>G Cot 13</t>
  </si>
  <si>
    <t>GVhv 655</t>
  </si>
  <si>
    <t>G Cot 21</t>
  </si>
  <si>
    <t>GBav 109</t>
  </si>
  <si>
    <t>GBav 120</t>
  </si>
  <si>
    <t>GBav 124</t>
  </si>
  <si>
    <t>GBav 131</t>
  </si>
  <si>
    <t>NA2</t>
  </si>
  <si>
    <t>Na</t>
  </si>
  <si>
    <t>K</t>
  </si>
  <si>
    <t>Samples</t>
  </si>
  <si>
    <t>GBhv 291 x GShv 297/07</t>
  </si>
  <si>
    <t>G.Cot.23 x GShv 378/05</t>
  </si>
  <si>
    <t>GBhv 287 x GShv 451/08</t>
  </si>
  <si>
    <t>GShv 451/08 x GBhv 290</t>
  </si>
  <si>
    <t>GShv 378/05 x GShv 433/08</t>
  </si>
  <si>
    <t>GBhv 291 x GBhv 283</t>
  </si>
  <si>
    <t>GShv 297/07 x GBhv 290</t>
  </si>
  <si>
    <t>GShv 297/07 x GShv 273/07</t>
  </si>
  <si>
    <t>Na1</t>
  </si>
  <si>
    <t>Na2</t>
  </si>
  <si>
    <t>OD at 510 nm</t>
  </si>
  <si>
    <t>Proline</t>
  </si>
  <si>
    <t xml:space="preserve"> Proline Standards</t>
  </si>
  <si>
    <t>510 nm</t>
  </si>
  <si>
    <t>Root</t>
  </si>
  <si>
    <t>Shoot</t>
  </si>
  <si>
    <t>Total biomass</t>
  </si>
  <si>
    <t>GBhv 291 x GShv 297/07 (1)</t>
  </si>
  <si>
    <t>GBhv 291 x GShv 297/07 (2)</t>
  </si>
  <si>
    <t>G.Cot.23 x GShv 378/05 (1)</t>
  </si>
  <si>
    <t>G.Cot.23 x GShv 378/05 (2)</t>
  </si>
  <si>
    <t>G.Cot.23 x GShv 378/05 (3)</t>
  </si>
  <si>
    <t>GBhv 287 x GShv 451/08 (1)</t>
  </si>
  <si>
    <t>GBhv 287 x GShv 451/08 (2)</t>
  </si>
  <si>
    <t>GBhv 287 x GShv 451/08 (3)</t>
  </si>
  <si>
    <t>GShv 378/05 x GShv 433/08 (1)</t>
  </si>
  <si>
    <t>GShv 378/05 x GShv 433/08 (2)</t>
  </si>
  <si>
    <t>GShv 378/05 x GShv 433/08 (3)</t>
  </si>
  <si>
    <t>GShv 378/05 x GShv 433/08 (4)</t>
  </si>
  <si>
    <t>GBhv 291 x GBhv 283 (1)</t>
  </si>
  <si>
    <t>GBhv 291 x GBhv 283 (2)</t>
  </si>
  <si>
    <t>GBhv 291 x GBhv 283 (3)</t>
  </si>
  <si>
    <t>GBhv 291 x GBhv 283 (4)</t>
  </si>
  <si>
    <t>GBhv 291 x GBhv 283 (5)</t>
  </si>
  <si>
    <t>GShv 297/07 x GBhv 290 (1)</t>
  </si>
  <si>
    <t>0..104</t>
  </si>
  <si>
    <t>GShv 297/07 x GBhv 290 (2)</t>
  </si>
  <si>
    <t>GShv 297/07 x GBhv 290 (3)</t>
  </si>
  <si>
    <t>GShv 297/07 x GBhv 290 (4)</t>
  </si>
  <si>
    <t>GShv 297/07 x GBhv 290 (5)</t>
  </si>
  <si>
    <t>R II</t>
  </si>
  <si>
    <t>Biomass</t>
  </si>
  <si>
    <t>GShv 451/08 x GBhv 290 (1)</t>
  </si>
  <si>
    <t>GShv 451/08 x GBhv 290 (2)</t>
  </si>
  <si>
    <t>GShv 297/07 x GShv 273/07 (1)</t>
  </si>
  <si>
    <t>GShv 297/07 x GShv 273/07 (2)</t>
  </si>
  <si>
    <t>GShv 297/07 x GShv 273/07 (3)</t>
  </si>
  <si>
    <t>GShv 297/07 x GShv 273/07 (4)</t>
  </si>
  <si>
    <t>R1</t>
  </si>
  <si>
    <t>RI</t>
  </si>
  <si>
    <t>R2</t>
  </si>
  <si>
    <t>Details</t>
  </si>
  <si>
    <t>Sample</t>
  </si>
  <si>
    <t>R-1</t>
  </si>
  <si>
    <t>R-II</t>
  </si>
  <si>
    <t>R-III</t>
  </si>
  <si>
    <t>R-I</t>
  </si>
  <si>
    <t>Na content</t>
  </si>
  <si>
    <t>K content</t>
  </si>
  <si>
    <t>Maize Experiment</t>
  </si>
  <si>
    <t xml:space="preserve">Chlorophyll content </t>
  </si>
  <si>
    <t>Hybrids</t>
  </si>
  <si>
    <t>VIVEK HYBRID 9</t>
  </si>
  <si>
    <t>Inbrids</t>
  </si>
  <si>
    <t>GYS 0705</t>
  </si>
  <si>
    <t>II</t>
  </si>
  <si>
    <t>I</t>
  </si>
  <si>
    <t>INBRIDS</t>
  </si>
  <si>
    <t>Na Content</t>
  </si>
  <si>
    <t>Na and K Content</t>
  </si>
  <si>
    <t>RII</t>
  </si>
  <si>
    <t>RIII</t>
  </si>
  <si>
    <t>GYS0705</t>
  </si>
  <si>
    <t xml:space="preserve"> K Content</t>
  </si>
  <si>
    <t>Soil analysis data</t>
  </si>
  <si>
    <t>Leaf Area related data</t>
  </si>
  <si>
    <t>Sample details</t>
  </si>
  <si>
    <t>Depth</t>
  </si>
  <si>
    <t>EC</t>
  </si>
  <si>
    <t>pH</t>
  </si>
  <si>
    <t>Leaf area (cm2)</t>
  </si>
  <si>
    <t>Length (cm)</t>
  </si>
  <si>
    <t>Width (cm)</t>
  </si>
  <si>
    <t>Perimeter (cm)</t>
  </si>
  <si>
    <t>Ratio</t>
  </si>
  <si>
    <t>0-15</t>
  </si>
  <si>
    <t>15-30</t>
  </si>
  <si>
    <t>Weight of cobs</t>
  </si>
  <si>
    <t>Weight of cobs/line</t>
  </si>
  <si>
    <t>S.No.</t>
  </si>
  <si>
    <t>TOTAL</t>
  </si>
  <si>
    <t>DKC7074</t>
  </si>
  <si>
    <t>DKC 8081</t>
  </si>
  <si>
    <t>DKC9117</t>
  </si>
  <si>
    <t>Biomass per plot</t>
  </si>
  <si>
    <t>iNBRIDS</t>
  </si>
  <si>
    <t>Microplot Soil Analysis</t>
  </si>
  <si>
    <t>Samni Farm Soil Sample Analysis</t>
  </si>
  <si>
    <t>Cotton Field</t>
  </si>
  <si>
    <t>EXP 1</t>
  </si>
  <si>
    <t>30-60</t>
  </si>
  <si>
    <t>60-90</t>
  </si>
  <si>
    <t>EXP 2</t>
  </si>
  <si>
    <t>EXP 3</t>
  </si>
  <si>
    <t>EXP 4</t>
  </si>
  <si>
    <t>Cob Yield /Plot</t>
  </si>
  <si>
    <t>Yield</t>
  </si>
  <si>
    <t>na3</t>
  </si>
  <si>
    <t>k3</t>
  </si>
  <si>
    <t>LxT</t>
  </si>
  <si>
    <t>trial</t>
  </si>
  <si>
    <t>big plot</t>
  </si>
  <si>
    <t>Pedigree</t>
  </si>
  <si>
    <t>Code</t>
  </si>
  <si>
    <t>CSB-1</t>
  </si>
  <si>
    <t>CSB-2</t>
  </si>
  <si>
    <t>CSB-3</t>
  </si>
  <si>
    <t>CSB-5</t>
  </si>
  <si>
    <t>CSB-6</t>
  </si>
  <si>
    <t>CSB-7</t>
  </si>
  <si>
    <t>CSB-8</t>
  </si>
  <si>
    <t>CSB-10</t>
  </si>
  <si>
    <t>K/Na Ratio</t>
  </si>
  <si>
    <t>Chlorophyll (mg/g) FW</t>
  </si>
  <si>
    <t>Mean K/NA</t>
  </si>
  <si>
    <t>Before flowering</t>
  </si>
  <si>
    <t>Flowering</t>
  </si>
  <si>
    <t>after flowering</t>
  </si>
  <si>
    <t>Before Flowering</t>
  </si>
  <si>
    <t>After Flowering</t>
  </si>
  <si>
    <t>% Reduction in chlorophyll</t>
  </si>
  <si>
    <t>K/Na ratio in leaf tissue</t>
  </si>
  <si>
    <t>Chlorophyll (mg/g) FW in leaf tissue</t>
  </si>
  <si>
    <t>Total</t>
  </si>
  <si>
    <t>Biomass (in grams) 12 EC</t>
  </si>
  <si>
    <t>Biomass (in grams) 8 EC</t>
  </si>
  <si>
    <r>
      <t>(</t>
    </r>
    <r>
      <rPr>
        <b/>
        <sz val="11"/>
        <color theme="1"/>
        <rFont val="Calibri"/>
        <family val="2"/>
      </rPr>
      <t>µg/g) FW</t>
    </r>
  </si>
  <si>
    <t xml:space="preserve">Proline </t>
  </si>
  <si>
    <t>Biomass in grams</t>
  </si>
  <si>
    <t>Shoot /Root ratio</t>
  </si>
  <si>
    <t>Max</t>
  </si>
  <si>
    <t>Min</t>
  </si>
  <si>
    <t>Average</t>
  </si>
  <si>
    <t>E.C. (1:2)</t>
  </si>
  <si>
    <t>Yield (kg/plot)</t>
  </si>
  <si>
    <t>Chlorophyll (mg/g FW)</t>
  </si>
  <si>
    <t>PHT</t>
  </si>
  <si>
    <t>CHL</t>
  </si>
  <si>
    <t>NA</t>
  </si>
  <si>
    <t>K/NA</t>
  </si>
  <si>
    <t>YLD</t>
  </si>
  <si>
    <t>CNA 342</t>
  </si>
  <si>
    <t>ANOVA</t>
  </si>
  <si>
    <t>Mean</t>
  </si>
  <si>
    <t>97.7de</t>
  </si>
  <si>
    <t>101.75d</t>
  </si>
  <si>
    <t>133.05b</t>
  </si>
  <si>
    <t>116.8c</t>
  </si>
  <si>
    <t>116.45c</t>
  </si>
  <si>
    <t>131.55b</t>
  </si>
  <si>
    <t>144.75a</t>
  </si>
  <si>
    <t>143.6a</t>
  </si>
  <si>
    <t>136.5b</t>
  </si>
  <si>
    <t>95.4e</t>
  </si>
  <si>
    <t>1.15c</t>
  </si>
  <si>
    <t>1.21bc</t>
  </si>
  <si>
    <t>1.58a</t>
  </si>
  <si>
    <t>1.29abc</t>
  </si>
  <si>
    <t>1.45abc</t>
  </si>
  <si>
    <t>1.26abc</t>
  </si>
  <si>
    <t>1.44abc</t>
  </si>
  <si>
    <t>1.37abc</t>
  </si>
  <si>
    <t>1.53ab</t>
  </si>
  <si>
    <t>1.36abc</t>
  </si>
  <si>
    <t>20.57bcd</t>
  </si>
  <si>
    <t>18.86cde</t>
  </si>
  <si>
    <t>15.36de</t>
  </si>
  <si>
    <t>24.27bc</t>
  </si>
  <si>
    <t>18.41cde</t>
  </si>
  <si>
    <t>26.31b</t>
  </si>
  <si>
    <t>25.56bc</t>
  </si>
  <si>
    <t>13.13e</t>
  </si>
  <si>
    <t>34.31a</t>
  </si>
  <si>
    <t>23.16bc</t>
  </si>
  <si>
    <t>145.93b</t>
  </si>
  <si>
    <t>156.85ab</t>
  </si>
  <si>
    <t>177.47ab</t>
  </si>
  <si>
    <t>200.32a</t>
  </si>
  <si>
    <t>182.7ab</t>
  </si>
  <si>
    <t>161.38ab</t>
  </si>
  <si>
    <t>179.5ab</t>
  </si>
  <si>
    <t>188.3ab</t>
  </si>
  <si>
    <t>158.43ab</t>
  </si>
  <si>
    <t>195.05ab</t>
  </si>
  <si>
    <t>7.1bcd</t>
  </si>
  <si>
    <t>8.4bcd</t>
  </si>
  <si>
    <t>11.55ab</t>
  </si>
  <si>
    <t>8.25bcd</t>
  </si>
  <si>
    <t>10.1abc</t>
  </si>
  <si>
    <t>6.15cd</t>
  </si>
  <si>
    <t>7bcd</t>
  </si>
  <si>
    <t>14.3a</t>
  </si>
  <si>
    <t>4.6d</t>
  </si>
  <si>
    <t>8.45bcd</t>
  </si>
  <si>
    <t>4707.5fg</t>
  </si>
  <si>
    <t>4613.5fg</t>
  </si>
  <si>
    <t>6959.5d</t>
  </si>
  <si>
    <t>8019c</t>
  </si>
  <si>
    <t>8201.5c</t>
  </si>
  <si>
    <t>4996f</t>
  </si>
  <si>
    <t>5760.5e</t>
  </si>
  <si>
    <t>4531.5g</t>
  </si>
  <si>
    <t>8662b</t>
  </si>
  <si>
    <t>10005a</t>
  </si>
  <si>
    <t>Mean Square</t>
  </si>
  <si>
    <t>Genotype</t>
  </si>
  <si>
    <t>C.D. (5%)</t>
  </si>
  <si>
    <t>Plant Height (cm)</t>
  </si>
  <si>
    <t>Sodium (ppm)</t>
  </si>
  <si>
    <t>Potassium (ppm)</t>
  </si>
  <si>
    <t>Yield per plot (grams)</t>
  </si>
  <si>
    <t>6346.06**</t>
  </si>
  <si>
    <t>0.34**</t>
  </si>
  <si>
    <t>673.90**</t>
  </si>
  <si>
    <t>5878.80**</t>
  </si>
  <si>
    <t>140.87**</t>
  </si>
  <si>
    <t>71233371.80**</t>
  </si>
  <si>
    <t>Arboreum</t>
  </si>
  <si>
    <t>Herbaceum</t>
  </si>
  <si>
    <t>Hirsutum Check</t>
  </si>
  <si>
    <t>Yield (Kg)</t>
  </si>
  <si>
    <t>At Flowering</t>
  </si>
  <si>
    <t>Boll formation</t>
  </si>
  <si>
    <t>Gheti</t>
  </si>
  <si>
    <t xml:space="preserve">s. no. </t>
  </si>
  <si>
    <t>variety</t>
  </si>
  <si>
    <t>R3</t>
  </si>
  <si>
    <t>average</t>
  </si>
  <si>
    <t>yield</t>
  </si>
  <si>
    <t>Gvhv-629</t>
  </si>
  <si>
    <t>GBhv-280</t>
  </si>
  <si>
    <t>Gvhv-682</t>
  </si>
  <si>
    <t>GBhv-293</t>
  </si>
  <si>
    <t>Gvhv-473</t>
  </si>
  <si>
    <t>GBhv-291</t>
  </si>
  <si>
    <t>Gvhv-235</t>
  </si>
  <si>
    <t>GBhv-306</t>
  </si>
  <si>
    <t>G.Cot-13</t>
  </si>
  <si>
    <t>Gshv-233/09</t>
  </si>
  <si>
    <t>Gshv-433/08</t>
  </si>
  <si>
    <t>Gshv-464/08</t>
  </si>
  <si>
    <t>Gvhv-655</t>
  </si>
  <si>
    <t>Gshv-538-08</t>
  </si>
  <si>
    <t>H-8</t>
  </si>
  <si>
    <t>Wugud-8</t>
  </si>
  <si>
    <t>Gshv-280/11</t>
  </si>
  <si>
    <t>H-9</t>
  </si>
  <si>
    <t>G.cot-21</t>
  </si>
  <si>
    <t>GBHV-287</t>
  </si>
  <si>
    <t>G.Buv.109</t>
  </si>
  <si>
    <t>GBHV-297</t>
  </si>
  <si>
    <t>Geti</t>
  </si>
  <si>
    <t>GBHV-2399/09</t>
  </si>
  <si>
    <t>Gbuv-120</t>
  </si>
  <si>
    <t>Gbuv-124</t>
  </si>
  <si>
    <t>G-cot-23</t>
  </si>
  <si>
    <t>Gbuv-131</t>
  </si>
  <si>
    <t>Treatments</t>
  </si>
  <si>
    <t xml:space="preserve">SOURCE </t>
  </si>
  <si>
    <t>d.f.</t>
  </si>
  <si>
    <t>S.S.</t>
  </si>
  <si>
    <t>M.S.</t>
  </si>
  <si>
    <t>cal-f</t>
  </si>
  <si>
    <t>table f (0.05)</t>
  </si>
  <si>
    <t>Interpretation</t>
  </si>
  <si>
    <t>table f (0.01)</t>
  </si>
  <si>
    <t>PROB&gt;F</t>
  </si>
  <si>
    <t>Replications</t>
  </si>
  <si>
    <t>Replication</t>
  </si>
  <si>
    <t>Grand Total</t>
  </si>
  <si>
    <t xml:space="preserve">Error </t>
  </si>
  <si>
    <t>Correction Factor</t>
  </si>
  <si>
    <t>total</t>
  </si>
  <si>
    <t>Standard Dev</t>
  </si>
  <si>
    <t>standard error Mean</t>
  </si>
  <si>
    <t>CD (.05)</t>
  </si>
  <si>
    <t>CD (1%)</t>
  </si>
  <si>
    <t xml:space="preserve">CV % </t>
  </si>
  <si>
    <t>REP-I</t>
  </si>
  <si>
    <t>REP-II</t>
  </si>
  <si>
    <t>REP-III</t>
  </si>
  <si>
    <t xml:space="preserve">Total </t>
  </si>
  <si>
    <t>S.E.</t>
  </si>
  <si>
    <t>GVhv-629</t>
  </si>
  <si>
    <t>GVhv-682</t>
  </si>
  <si>
    <t>GVhv-473</t>
  </si>
  <si>
    <t>GVhv-235</t>
  </si>
  <si>
    <t>GVhv-655</t>
  </si>
  <si>
    <t>Wagad-8</t>
  </si>
  <si>
    <t>GBav-120</t>
  </si>
  <si>
    <t>GBav-124</t>
  </si>
  <si>
    <t>GBav-131</t>
  </si>
  <si>
    <t>(µg/g) FW</t>
  </si>
  <si>
    <t>Yield per plot</t>
  </si>
  <si>
    <t>Yield (gram per plot)</t>
  </si>
  <si>
    <t>SEM</t>
  </si>
  <si>
    <t>Total chlorophyll (mg/g FW)</t>
  </si>
  <si>
    <t>Na content (ppm)</t>
  </si>
  <si>
    <t>K content (ppm)</t>
  </si>
  <si>
    <t>KRL 345</t>
  </si>
  <si>
    <t>KRl 210</t>
  </si>
  <si>
    <t>KRL 347</t>
  </si>
  <si>
    <t>KLP 1006</t>
  </si>
  <si>
    <t>WH 1145</t>
  </si>
  <si>
    <t>KRL 346</t>
  </si>
  <si>
    <t>KRL 19</t>
  </si>
  <si>
    <t>LOK BOLD</t>
  </si>
  <si>
    <t>K/Na ratio</t>
  </si>
  <si>
    <t>Yield (t/ha)</t>
  </si>
  <si>
    <t>Inbreeds</t>
  </si>
  <si>
    <t>Chlorophyll</t>
  </si>
  <si>
    <t>Varieties/Inbreeds</t>
  </si>
  <si>
    <t>KRL 210</t>
  </si>
  <si>
    <t>CV</t>
  </si>
  <si>
    <t>SEm</t>
  </si>
  <si>
    <t>SEd</t>
  </si>
  <si>
    <t>CD (0.05)</t>
  </si>
  <si>
    <t>CD (0.01)</t>
  </si>
  <si>
    <t>Vg</t>
  </si>
  <si>
    <t>Vp</t>
  </si>
  <si>
    <t>sqr of vg</t>
  </si>
  <si>
    <t>sqr of vp</t>
  </si>
  <si>
    <t>Ve</t>
  </si>
  <si>
    <t>sqr of ve</t>
  </si>
  <si>
    <t>gcv</t>
  </si>
  <si>
    <t>pcv</t>
  </si>
  <si>
    <t>ecv</t>
  </si>
  <si>
    <t>h</t>
  </si>
  <si>
    <t>GA</t>
  </si>
  <si>
    <t>GA % of mean</t>
  </si>
  <si>
    <t>Positive</t>
  </si>
  <si>
    <t>Negative</t>
  </si>
  <si>
    <t>K(Before Flowering)</t>
  </si>
  <si>
    <t>Na(After Flowering)</t>
  </si>
  <si>
    <t>K (After Flowering)</t>
  </si>
  <si>
    <t>Biomass (Kg)</t>
  </si>
  <si>
    <t>Flag leaf Area (cm2)</t>
  </si>
  <si>
    <t>g</t>
  </si>
  <si>
    <t>efg</t>
  </si>
  <si>
    <t>fg</t>
  </si>
  <si>
    <t>ab</t>
  </si>
  <si>
    <t>bcd</t>
  </si>
  <si>
    <t>abc</t>
  </si>
  <si>
    <t>a</t>
  </si>
  <si>
    <t>cdef</t>
  </si>
  <si>
    <t>def</t>
  </si>
  <si>
    <t>cde</t>
  </si>
  <si>
    <t>Gbav 109</t>
  </si>
  <si>
    <t>Yield (gram/plot)</t>
  </si>
  <si>
    <t>SE</t>
  </si>
  <si>
    <t>DMRT</t>
  </si>
  <si>
    <t>Mean K/Na Ratio</t>
  </si>
  <si>
    <t>Cob Yield /Plot (kg)</t>
  </si>
  <si>
    <t>Chlorophyll(mg/g)</t>
  </si>
  <si>
    <t>Na in ppm (Before Flowering)</t>
  </si>
  <si>
    <t>K in ppm (Before Flowering)</t>
  </si>
  <si>
    <t>K/Na ratio (Before Flowering)</t>
  </si>
  <si>
    <t>Na in ppm (After Flowering)</t>
  </si>
  <si>
    <t>K in ppm (After Flowering)</t>
  </si>
  <si>
    <t>K/Na ratio (After Flowering)</t>
  </si>
  <si>
    <t>Cob Yield/Plot (kg)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</si>
</sst>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Arial"/>
      <family val="2"/>
    </font>
    <font>
      <sz val="14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990CB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DD3E1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2" fillId="2" borderId="1" xfId="0" applyFont="1" applyFill="1" applyBorder="1"/>
    <xf numFmtId="0" fontId="2" fillId="2" borderId="0" xfId="0" applyFont="1" applyFill="1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0" fillId="2" borderId="0" xfId="0" applyFill="1"/>
    <xf numFmtId="0" fontId="2" fillId="5" borderId="1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5" fontId="0" fillId="12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5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5" fontId="0" fillId="0" borderId="1" xfId="0" applyNumberFormat="1" applyBorder="1"/>
    <xf numFmtId="165" fontId="0" fillId="15" borderId="1" xfId="0" applyNumberFormat="1" applyFill="1" applyBorder="1"/>
    <xf numFmtId="0" fontId="2" fillId="14" borderId="1" xfId="0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0" fontId="6" fillId="2" borderId="1" xfId="0" applyFon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2" fontId="0" fillId="17" borderId="1" xfId="0" applyNumberFormat="1" applyFill="1" applyBorder="1" applyAlignment="1">
      <alignment horizontal="center" vertic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ont="1" applyBorder="1"/>
    <xf numFmtId="0" fontId="2" fillId="21" borderId="2" xfId="0" applyFont="1" applyFill="1" applyBorder="1" applyAlignment="1">
      <alignment horizontal="center" vertical="center"/>
    </xf>
    <xf numFmtId="2" fontId="2" fillId="20" borderId="1" xfId="0" applyNumberFormat="1" applyFont="1" applyFill="1" applyBorder="1" applyAlignment="1">
      <alignment horizontal="center"/>
    </xf>
    <xf numFmtId="0" fontId="10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13" fillId="22" borderId="1" xfId="0" applyFont="1" applyFill="1" applyBorder="1" applyProtection="1"/>
    <xf numFmtId="0" fontId="10" fillId="22" borderId="1" xfId="0" applyFont="1" applyFill="1" applyBorder="1" applyAlignment="1" applyProtection="1">
      <alignment horizontal="center"/>
    </xf>
    <xf numFmtId="0" fontId="13" fillId="23" borderId="1" xfId="0" applyFont="1" applyFill="1" applyBorder="1" applyProtection="1"/>
    <xf numFmtId="0" fontId="13" fillId="0" borderId="0" xfId="0" applyFont="1" applyBorder="1" applyProtection="1"/>
    <xf numFmtId="0" fontId="10" fillId="23" borderId="1" xfId="0" applyFont="1" applyFill="1" applyBorder="1" applyProtection="1"/>
    <xf numFmtId="2" fontId="10" fillId="24" borderId="1" xfId="0" applyNumberFormat="1" applyFont="1" applyFill="1" applyBorder="1" applyProtection="1"/>
    <xf numFmtId="164" fontId="10" fillId="24" borderId="1" xfId="0" applyNumberFormat="1" applyFont="1" applyFill="1" applyBorder="1" applyProtection="1"/>
    <xf numFmtId="0" fontId="10" fillId="0" borderId="1" xfId="0" applyFont="1" applyBorder="1" applyProtection="1"/>
    <xf numFmtId="2" fontId="10" fillId="22" borderId="1" xfId="0" applyNumberFormat="1" applyFont="1" applyFill="1" applyBorder="1" applyAlignment="1" applyProtection="1">
      <alignment horizontal="center"/>
    </xf>
    <xf numFmtId="2" fontId="10" fillId="0" borderId="0" xfId="0" applyNumberFormat="1" applyFont="1" applyBorder="1" applyProtection="1"/>
    <xf numFmtId="2" fontId="10" fillId="23" borderId="1" xfId="0" applyNumberFormat="1" applyFont="1" applyFill="1" applyBorder="1" applyProtection="1"/>
    <xf numFmtId="0" fontId="10" fillId="0" borderId="0" xfId="0" applyFont="1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Protection="1"/>
    <xf numFmtId="2" fontId="10" fillId="0" borderId="1" xfId="0" applyNumberFormat="1" applyFont="1" applyFill="1" applyBorder="1" applyProtection="1"/>
    <xf numFmtId="2" fontId="10" fillId="0" borderId="0" xfId="0" applyNumberFormat="1" applyFont="1" applyFill="1" applyBorder="1" applyProtection="1"/>
    <xf numFmtId="2" fontId="10" fillId="0" borderId="1" xfId="0" applyNumberFormat="1" applyFont="1" applyBorder="1" applyProtection="1"/>
    <xf numFmtId="0" fontId="10" fillId="0" borderId="0" xfId="0" applyFont="1" applyBorder="1" applyAlignment="1" applyProtection="1">
      <alignment horizontal="center"/>
    </xf>
    <xf numFmtId="166" fontId="10" fillId="0" borderId="1" xfId="0" applyNumberFormat="1" applyFont="1" applyBorder="1" applyProtection="1"/>
    <xf numFmtId="0" fontId="13" fillId="25" borderId="1" xfId="0" applyFont="1" applyFill="1" applyBorder="1" applyProtection="1"/>
    <xf numFmtId="2" fontId="10" fillId="26" borderId="1" xfId="0" applyNumberFormat="1" applyFont="1" applyFill="1" applyBorder="1" applyProtection="1"/>
    <xf numFmtId="165" fontId="13" fillId="27" borderId="1" xfId="0" applyNumberFormat="1" applyFont="1" applyFill="1" applyBorder="1" applyProtection="1"/>
    <xf numFmtId="165" fontId="10" fillId="23" borderId="1" xfId="0" applyNumberFormat="1" applyFont="1" applyFill="1" applyBorder="1" applyProtection="1"/>
    <xf numFmtId="0" fontId="2" fillId="28" borderId="1" xfId="0" applyFont="1" applyFill="1" applyBorder="1" applyAlignment="1" applyProtection="1">
      <alignment horizontal="center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10" fillId="25" borderId="1" xfId="0" applyFont="1" applyFill="1" applyBorder="1" applyProtection="1"/>
    <xf numFmtId="165" fontId="13" fillId="0" borderId="1" xfId="0" applyNumberFormat="1" applyFont="1" applyBorder="1" applyProtection="1"/>
    <xf numFmtId="0" fontId="14" fillId="30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31" borderId="10" xfId="0" applyFont="1" applyFill="1" applyBorder="1" applyAlignment="1">
      <alignment horizontal="center"/>
    </xf>
    <xf numFmtId="0" fontId="14" fillId="32" borderId="12" xfId="0" applyFont="1" applyFill="1" applyBorder="1" applyAlignment="1">
      <alignment horizontal="center"/>
    </xf>
    <xf numFmtId="0" fontId="15" fillId="33" borderId="12" xfId="0" applyFont="1" applyFill="1" applyBorder="1" applyAlignment="1">
      <alignment horizontal="center"/>
    </xf>
    <xf numFmtId="0" fontId="15" fillId="34" borderId="12" xfId="0" applyFont="1" applyFill="1" applyBorder="1" applyAlignment="1">
      <alignment horizontal="center"/>
    </xf>
    <xf numFmtId="0" fontId="15" fillId="35" borderId="12" xfId="0" applyFont="1" applyFill="1" applyBorder="1" applyAlignment="1">
      <alignment horizontal="center"/>
    </xf>
    <xf numFmtId="0" fontId="15" fillId="12" borderId="12" xfId="0" applyFont="1" applyFill="1" applyBorder="1" applyAlignment="1">
      <alignment horizontal="center"/>
    </xf>
    <xf numFmtId="0" fontId="15" fillId="36" borderId="12" xfId="0" applyFont="1" applyFill="1" applyBorder="1" applyAlignment="1">
      <alignment horizontal="center"/>
    </xf>
    <xf numFmtId="1" fontId="0" fillId="0" borderId="0" xfId="0" applyNumberFormat="1"/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center" vertical="center"/>
    </xf>
    <xf numFmtId="2" fontId="0" fillId="5" borderId="6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13" fillId="37" borderId="1" xfId="0" applyNumberFormat="1" applyFont="1" applyFill="1" applyBorder="1" applyProtection="1"/>
    <xf numFmtId="2" fontId="10" fillId="37" borderId="1" xfId="0" applyNumberFormat="1" applyFont="1" applyFill="1" applyBorder="1" applyProtection="1"/>
    <xf numFmtId="2" fontId="0" fillId="3" borderId="1" xfId="0" applyNumberFormat="1" applyFill="1" applyBorder="1"/>
    <xf numFmtId="0" fontId="0" fillId="15" borderId="1" xfId="0" applyFill="1" applyBorder="1" applyAlignment="1">
      <alignment horizontal="center"/>
    </xf>
    <xf numFmtId="0" fontId="2" fillId="3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13" fillId="37" borderId="0" xfId="0" applyNumberFormat="1" applyFont="1" applyFill="1" applyBorder="1" applyProtection="1"/>
    <xf numFmtId="2" fontId="10" fillId="37" borderId="0" xfId="0" applyNumberFormat="1" applyFont="1" applyFill="1" applyBorder="1" applyProtection="1"/>
    <xf numFmtId="2" fontId="0" fillId="3" borderId="0" xfId="0" applyNumberFormat="1" applyFill="1" applyBorder="1"/>
    <xf numFmtId="0" fontId="13" fillId="39" borderId="16" xfId="0" applyFont="1" applyFill="1" applyBorder="1" applyProtection="1"/>
    <xf numFmtId="2" fontId="10" fillId="39" borderId="7" xfId="0" applyNumberFormat="1" applyFont="1" applyFill="1" applyBorder="1" applyProtection="1"/>
    <xf numFmtId="0" fontId="13" fillId="39" borderId="17" xfId="0" applyFont="1" applyFill="1" applyBorder="1" applyProtection="1"/>
    <xf numFmtId="2" fontId="10" fillId="39" borderId="18" xfId="0" applyNumberFormat="1" applyFont="1" applyFill="1" applyBorder="1" applyProtection="1"/>
    <xf numFmtId="2" fontId="5" fillId="0" borderId="0" xfId="0" applyNumberFormat="1" applyFont="1" applyAlignment="1" applyProtection="1">
      <alignment horizontal="center"/>
      <protection locked="0"/>
    </xf>
    <xf numFmtId="0" fontId="13" fillId="39" borderId="19" xfId="0" applyFont="1" applyFill="1" applyBorder="1" applyProtection="1"/>
    <xf numFmtId="2" fontId="10" fillId="39" borderId="8" xfId="0" applyNumberFormat="1" applyFont="1" applyFill="1" applyBorder="1" applyProtection="1"/>
    <xf numFmtId="0" fontId="16" fillId="0" borderId="0" xfId="0" applyFont="1" applyBorder="1" applyProtection="1"/>
    <xf numFmtId="0" fontId="17" fillId="0" borderId="0" xfId="0" applyFont="1" applyBorder="1" applyAlignment="1" applyProtection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0" fillId="40" borderId="1" xfId="0" applyNumberFormat="1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left"/>
    </xf>
    <xf numFmtId="0" fontId="0" fillId="6" borderId="1" xfId="0" applyFill="1" applyBorder="1" applyAlignment="1">
      <alignment horizontal="center"/>
    </xf>
    <xf numFmtId="0" fontId="14" fillId="29" borderId="9" xfId="0" applyFont="1" applyFill="1" applyBorder="1" applyAlignment="1">
      <alignment horizontal="center"/>
    </xf>
    <xf numFmtId="0" fontId="14" fillId="29" borderId="10" xfId="0" applyFont="1" applyFill="1" applyBorder="1" applyAlignment="1">
      <alignment horizontal="center"/>
    </xf>
    <xf numFmtId="0" fontId="14" fillId="30" borderId="14" xfId="0" applyFont="1" applyFill="1" applyBorder="1" applyAlignment="1">
      <alignment horizontal="center"/>
    </xf>
    <xf numFmtId="0" fontId="14" fillId="30" borderId="13" xfId="0" applyFont="1" applyFill="1" applyBorder="1" applyAlignment="1">
      <alignment horizontal="center"/>
    </xf>
    <xf numFmtId="0" fontId="14" fillId="30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0" fillId="40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757"/>
      <color rgb="FF00FFFF"/>
      <color rgb="FF66FFFF"/>
      <color rgb="FFFF5050"/>
      <color rgb="FFFF0066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barChart>
        <c:barDir val="col"/>
        <c:grouping val="clustered"/>
        <c:ser>
          <c:idx val="0"/>
          <c:order val="0"/>
          <c:tx>
            <c:strRef>
              <c:f>'Maize final'!$C$20</c:f>
              <c:strCache>
                <c:ptCount val="1"/>
                <c:pt idx="0">
                  <c:v>Cob Yield/Plot (kg)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0"/>
                  <c:y val="-2.74846628127222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5"/>
              <c:layout>
                <c:manualLayout>
                  <c:x val="0"/>
                  <c:y val="-4.5807771354537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6"/>
              <c:layout>
                <c:manualLayout>
                  <c:x val="0"/>
                  <c:y val="-3.66462170836295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'Maize final'!$D$21:$D$27</c:f>
                <c:numCache>
                  <c:formatCode>General</c:formatCode>
                  <c:ptCount val="7"/>
                  <c:pt idx="0">
                    <c:v>0.29134248650761807</c:v>
                  </c:pt>
                  <c:pt idx="1">
                    <c:v>0.32395541531376087</c:v>
                  </c:pt>
                  <c:pt idx="2">
                    <c:v>0.87010063274952054</c:v>
                  </c:pt>
                  <c:pt idx="3">
                    <c:v>0.22276744226509804</c:v>
                  </c:pt>
                  <c:pt idx="4">
                    <c:v>0.20306649157361434</c:v>
                  </c:pt>
                  <c:pt idx="5">
                    <c:v>0.94097042107248541</c:v>
                  </c:pt>
                  <c:pt idx="6">
                    <c:v>0.81322512941442582</c:v>
                  </c:pt>
                </c:numCache>
              </c:numRef>
            </c:plus>
            <c:minus>
              <c:numRef>
                <c:f>'Maize final'!$D$21:$D$27</c:f>
                <c:numCache>
                  <c:formatCode>General</c:formatCode>
                  <c:ptCount val="7"/>
                  <c:pt idx="0">
                    <c:v>0.29134248650761807</c:v>
                  </c:pt>
                  <c:pt idx="1">
                    <c:v>0.32395541531376087</c:v>
                  </c:pt>
                  <c:pt idx="2">
                    <c:v>0.87010063274952054</c:v>
                  </c:pt>
                  <c:pt idx="3">
                    <c:v>0.22276744226509804</c:v>
                  </c:pt>
                  <c:pt idx="4">
                    <c:v>0.20306649157361434</c:v>
                  </c:pt>
                  <c:pt idx="5">
                    <c:v>0.94097042107248541</c:v>
                  </c:pt>
                  <c:pt idx="6">
                    <c:v>0.81322512941442582</c:v>
                  </c:pt>
                </c:numCache>
              </c:numRef>
            </c:minus>
          </c:errBars>
          <c:cat>
            <c:strRef>
              <c:f>'Maize final'!$B$21:$B$27</c:f>
              <c:strCache>
                <c:ptCount val="7"/>
                <c:pt idx="0">
                  <c:v>900 M GOLD</c:v>
                </c:pt>
                <c:pt idx="1">
                  <c:v>DKC7074</c:v>
                </c:pt>
                <c:pt idx="2">
                  <c:v>DKC 8081</c:v>
                </c:pt>
                <c:pt idx="3">
                  <c:v>DKC9117</c:v>
                </c:pt>
                <c:pt idx="4">
                  <c:v>PRAKASH</c:v>
                </c:pt>
                <c:pt idx="5">
                  <c:v>PMH-4</c:v>
                </c:pt>
                <c:pt idx="6">
                  <c:v>VIVEK HYBRID 9</c:v>
                </c:pt>
              </c:strCache>
            </c:strRef>
          </c:cat>
          <c:val>
            <c:numRef>
              <c:f>'Maize final'!$C$21:$C$27</c:f>
              <c:numCache>
                <c:formatCode>0.00</c:formatCode>
                <c:ptCount val="7"/>
                <c:pt idx="0">
                  <c:v>9.5893333333333342</c:v>
                </c:pt>
                <c:pt idx="1">
                  <c:v>9.7713333333333328</c:v>
                </c:pt>
                <c:pt idx="2">
                  <c:v>13.788666666666666</c:v>
                </c:pt>
                <c:pt idx="3">
                  <c:v>9.952</c:v>
                </c:pt>
                <c:pt idx="4">
                  <c:v>9.7619999999999987</c:v>
                </c:pt>
                <c:pt idx="5">
                  <c:v>10.19</c:v>
                </c:pt>
                <c:pt idx="6">
                  <c:v>12.426666666666668</c:v>
                </c:pt>
              </c:numCache>
            </c:numRef>
          </c:val>
        </c:ser>
        <c:ser>
          <c:idx val="1"/>
          <c:order val="1"/>
          <c:tx>
            <c:strRef>
              <c:f>'Maize final'!$O$20</c:f>
              <c:strCache>
                <c:ptCount val="1"/>
                <c:pt idx="0">
                  <c:v>K/Na ratio (Before Flowering)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'Maize final'!$P$21:$P$27</c:f>
                <c:numCache>
                  <c:formatCode>General</c:formatCode>
                  <c:ptCount val="7"/>
                  <c:pt idx="0">
                    <c:v>0.79623233276385708</c:v>
                  </c:pt>
                  <c:pt idx="1">
                    <c:v>0.28676372905079001</c:v>
                  </c:pt>
                  <c:pt idx="2">
                    <c:v>0.45208970362181</c:v>
                  </c:pt>
                  <c:pt idx="3">
                    <c:v>0.75420907231487</c:v>
                  </c:pt>
                  <c:pt idx="4">
                    <c:v>0.41096508639938001</c:v>
                  </c:pt>
                  <c:pt idx="5">
                    <c:v>0.56878847143624867</c:v>
                  </c:pt>
                  <c:pt idx="6">
                    <c:v>0.31034715762906001</c:v>
                  </c:pt>
                </c:numCache>
              </c:numRef>
            </c:plus>
            <c:minus>
              <c:numRef>
                <c:f>'Maize final'!$P$21:$P$27</c:f>
                <c:numCache>
                  <c:formatCode>General</c:formatCode>
                  <c:ptCount val="7"/>
                  <c:pt idx="0">
                    <c:v>0.79623233276385708</c:v>
                  </c:pt>
                  <c:pt idx="1">
                    <c:v>0.28676372905079001</c:v>
                  </c:pt>
                  <c:pt idx="2">
                    <c:v>0.45208970362181</c:v>
                  </c:pt>
                  <c:pt idx="3">
                    <c:v>0.75420907231487</c:v>
                  </c:pt>
                  <c:pt idx="4">
                    <c:v>0.41096508639938001</c:v>
                  </c:pt>
                  <c:pt idx="5">
                    <c:v>0.56878847143624867</c:v>
                  </c:pt>
                  <c:pt idx="6">
                    <c:v>0.31034715762906001</c:v>
                  </c:pt>
                </c:numCache>
              </c:numRef>
            </c:minus>
          </c:errBars>
          <c:cat>
            <c:strRef>
              <c:f>'Maize final'!$B$21:$B$27</c:f>
              <c:strCache>
                <c:ptCount val="7"/>
                <c:pt idx="0">
                  <c:v>900 M GOLD</c:v>
                </c:pt>
                <c:pt idx="1">
                  <c:v>DKC7074</c:v>
                </c:pt>
                <c:pt idx="2">
                  <c:v>DKC 8081</c:v>
                </c:pt>
                <c:pt idx="3">
                  <c:v>DKC9117</c:v>
                </c:pt>
                <c:pt idx="4">
                  <c:v>PRAKASH</c:v>
                </c:pt>
                <c:pt idx="5">
                  <c:v>PMH-4</c:v>
                </c:pt>
                <c:pt idx="6">
                  <c:v>VIVEK HYBRID 9</c:v>
                </c:pt>
              </c:strCache>
            </c:strRef>
          </c:cat>
          <c:val>
            <c:numRef>
              <c:f>'Maize final'!$O$21:$O$27</c:f>
              <c:numCache>
                <c:formatCode>0.00</c:formatCode>
                <c:ptCount val="7"/>
                <c:pt idx="0">
                  <c:v>12.830759566082479</c:v>
                </c:pt>
                <c:pt idx="1">
                  <c:v>9.5465911095002127</c:v>
                </c:pt>
                <c:pt idx="2">
                  <c:v>14.34170922270021</c:v>
                </c:pt>
                <c:pt idx="3">
                  <c:v>13.64214334969771</c:v>
                </c:pt>
                <c:pt idx="4">
                  <c:v>12.95976745448842</c:v>
                </c:pt>
                <c:pt idx="5">
                  <c:v>8.8188226861061931</c:v>
                </c:pt>
                <c:pt idx="6">
                  <c:v>12.003850141667721</c:v>
                </c:pt>
              </c:numCache>
            </c:numRef>
          </c:val>
        </c:ser>
        <c:ser>
          <c:idx val="2"/>
          <c:order val="2"/>
          <c:tx>
            <c:strRef>
              <c:f>'Maize final'!$X$20</c:f>
              <c:strCache>
                <c:ptCount val="1"/>
                <c:pt idx="0">
                  <c:v>K/Na ratio (After Flowering)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'Maize final'!$Y$21:$Y$27</c:f>
                <c:numCache>
                  <c:formatCode>General</c:formatCode>
                  <c:ptCount val="7"/>
                  <c:pt idx="0">
                    <c:v>0.45252217340812401</c:v>
                  </c:pt>
                  <c:pt idx="1">
                    <c:v>0.32569132075438201</c:v>
                  </c:pt>
                  <c:pt idx="2">
                    <c:v>0.70450250085675004</c:v>
                  </c:pt>
                  <c:pt idx="3">
                    <c:v>0.32859896005837003</c:v>
                  </c:pt>
                  <c:pt idx="4">
                    <c:v>0.7</c:v>
                  </c:pt>
                  <c:pt idx="5">
                    <c:v>0.25437852465888</c:v>
                  </c:pt>
                  <c:pt idx="6">
                    <c:v>0.48576878093201997</c:v>
                  </c:pt>
                </c:numCache>
              </c:numRef>
            </c:plus>
            <c:minus>
              <c:numRef>
                <c:f>'Maize final'!$Y$21:$Y$27</c:f>
                <c:numCache>
                  <c:formatCode>General</c:formatCode>
                  <c:ptCount val="7"/>
                  <c:pt idx="0">
                    <c:v>0.45252217340812401</c:v>
                  </c:pt>
                  <c:pt idx="1">
                    <c:v>0.32569132075438201</c:v>
                  </c:pt>
                  <c:pt idx="2">
                    <c:v>0.70450250085675004</c:v>
                  </c:pt>
                  <c:pt idx="3">
                    <c:v>0.32859896005837003</c:v>
                  </c:pt>
                  <c:pt idx="4">
                    <c:v>0.7</c:v>
                  </c:pt>
                  <c:pt idx="5">
                    <c:v>0.25437852465888</c:v>
                  </c:pt>
                  <c:pt idx="6">
                    <c:v>0.48576878093201997</c:v>
                  </c:pt>
                </c:numCache>
              </c:numRef>
            </c:minus>
          </c:errBars>
          <c:cat>
            <c:strRef>
              <c:f>'Maize final'!$B$21:$B$27</c:f>
              <c:strCache>
                <c:ptCount val="7"/>
                <c:pt idx="0">
                  <c:v>900 M GOLD</c:v>
                </c:pt>
                <c:pt idx="1">
                  <c:v>DKC7074</c:v>
                </c:pt>
                <c:pt idx="2">
                  <c:v>DKC 8081</c:v>
                </c:pt>
                <c:pt idx="3">
                  <c:v>DKC9117</c:v>
                </c:pt>
                <c:pt idx="4">
                  <c:v>PRAKASH</c:v>
                </c:pt>
                <c:pt idx="5">
                  <c:v>PMH-4</c:v>
                </c:pt>
                <c:pt idx="6">
                  <c:v>VIVEK HYBRID 9</c:v>
                </c:pt>
              </c:strCache>
            </c:strRef>
          </c:cat>
          <c:val>
            <c:numRef>
              <c:f>'Maize final'!$X$21:$X$27</c:f>
              <c:numCache>
                <c:formatCode>0.00</c:formatCode>
                <c:ptCount val="7"/>
                <c:pt idx="0">
                  <c:v>6.9206631937751695</c:v>
                </c:pt>
                <c:pt idx="1">
                  <c:v>6.7445252313057296</c:v>
                </c:pt>
                <c:pt idx="2">
                  <c:v>5.3587000187551483</c:v>
                </c:pt>
                <c:pt idx="3">
                  <c:v>6.4243907987445681</c:v>
                </c:pt>
                <c:pt idx="4">
                  <c:v>6.5419974262500178</c:v>
                </c:pt>
                <c:pt idx="5">
                  <c:v>4.6572640057614594</c:v>
                </c:pt>
                <c:pt idx="6">
                  <c:v>7.5525434134575562</c:v>
                </c:pt>
              </c:numCache>
            </c:numRef>
          </c:val>
        </c:ser>
        <c:axId val="74699136"/>
        <c:axId val="74701440"/>
      </c:barChart>
      <c:catAx>
        <c:axId val="74699136"/>
        <c:scaling>
          <c:orientation val="minMax"/>
        </c:scaling>
        <c:axPos val="b"/>
        <c:tickLblPos val="nextTo"/>
        <c:txPr>
          <a:bodyPr rot="-1620000"/>
          <a:lstStyle/>
          <a:p>
            <a:pPr>
              <a:defRPr sz="1200" b="1"/>
            </a:pPr>
            <a:endParaRPr lang="en-US"/>
          </a:p>
        </c:txPr>
        <c:crossAx val="74701440"/>
        <c:crosses val="autoZero"/>
        <c:auto val="1"/>
        <c:lblAlgn val="ctr"/>
        <c:lblOffset val="100"/>
      </c:catAx>
      <c:valAx>
        <c:axId val="7470144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74699136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t"/>
      <c:layout>
        <c:manualLayout>
          <c:xMode val="edge"/>
          <c:yMode val="edge"/>
          <c:x val="0.11670533296873231"/>
          <c:y val="6.925795823799652E-2"/>
          <c:w val="0.7907262795297042"/>
          <c:h val="5.5222530786789951E-2"/>
        </c:manualLayout>
      </c:layout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solidFill>
      <a:srgbClr val="F79646">
        <a:lumMod val="20000"/>
        <a:lumOff val="80000"/>
      </a:srgb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4.6294599538694026E-2"/>
          <c:y val="0.16317884983295214"/>
          <c:w val="0.92542257217847768"/>
          <c:h val="0.65036442320929788"/>
        </c:manualLayout>
      </c:layout>
      <c:barChart>
        <c:barDir val="col"/>
        <c:grouping val="clustered"/>
        <c:ser>
          <c:idx val="0"/>
          <c:order val="0"/>
          <c:tx>
            <c:strRef>
              <c:f>'Maize final'!$C$28</c:f>
              <c:strCache>
                <c:ptCount val="1"/>
                <c:pt idx="0">
                  <c:v>Cob Yield /Plot (kg)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'Maize final'!$D$29:$D$35</c:f>
                <c:numCache>
                  <c:formatCode>General</c:formatCode>
                  <c:ptCount val="7"/>
                  <c:pt idx="0">
                    <c:v>0.39395431207183002</c:v>
                  </c:pt>
                  <c:pt idx="1">
                    <c:v>0.64591881154764319</c:v>
                  </c:pt>
                  <c:pt idx="2">
                    <c:v>0.52934970587609198</c:v>
                  </c:pt>
                  <c:pt idx="3">
                    <c:v>0.35472994422988496</c:v>
                  </c:pt>
                  <c:pt idx="4">
                    <c:v>0.70979652796496495</c:v>
                  </c:pt>
                  <c:pt idx="5">
                    <c:v>0.60928920336186509</c:v>
                  </c:pt>
                  <c:pt idx="6">
                    <c:v>0.13868429375142785</c:v>
                  </c:pt>
                </c:numCache>
              </c:numRef>
            </c:plus>
            <c:minus>
              <c:numRef>
                <c:f>'Maize final'!$D$29:$D$35</c:f>
                <c:numCache>
                  <c:formatCode>General</c:formatCode>
                  <c:ptCount val="7"/>
                  <c:pt idx="0">
                    <c:v>0.39395431207183002</c:v>
                  </c:pt>
                  <c:pt idx="1">
                    <c:v>0.64591881154764319</c:v>
                  </c:pt>
                  <c:pt idx="2">
                    <c:v>0.52934970587609198</c:v>
                  </c:pt>
                  <c:pt idx="3">
                    <c:v>0.35472994422988496</c:v>
                  </c:pt>
                  <c:pt idx="4">
                    <c:v>0.70979652796496495</c:v>
                  </c:pt>
                  <c:pt idx="5">
                    <c:v>0.60928920336186509</c:v>
                  </c:pt>
                  <c:pt idx="6">
                    <c:v>0.13868429375142785</c:v>
                  </c:pt>
                </c:numCache>
              </c:numRef>
            </c:minus>
          </c:errBars>
          <c:cat>
            <c:strRef>
              <c:f>'Maize final'!$B$29:$B$35</c:f>
              <c:strCache>
                <c:ptCount val="7"/>
                <c:pt idx="0">
                  <c:v>GM-6</c:v>
                </c:pt>
                <c:pt idx="1">
                  <c:v>GAYMAH-1</c:v>
                </c:pt>
                <c:pt idx="2">
                  <c:v>GWL-8</c:v>
                </c:pt>
                <c:pt idx="3">
                  <c:v>GYS-0705</c:v>
                </c:pt>
                <c:pt idx="4">
                  <c:v>DMRQPM 0903</c:v>
                </c:pt>
                <c:pt idx="5">
                  <c:v>CML 260</c:v>
                </c:pt>
                <c:pt idx="6">
                  <c:v>GWL-15</c:v>
                </c:pt>
              </c:strCache>
            </c:strRef>
          </c:cat>
          <c:val>
            <c:numRef>
              <c:f>'Maize final'!$C$29:$C$35</c:f>
              <c:numCache>
                <c:formatCode>0.00</c:formatCode>
                <c:ptCount val="7"/>
                <c:pt idx="0">
                  <c:v>8.4</c:v>
                </c:pt>
                <c:pt idx="1">
                  <c:v>7.8033333333333319</c:v>
                </c:pt>
                <c:pt idx="2">
                  <c:v>8.0533333333333346</c:v>
                </c:pt>
                <c:pt idx="3">
                  <c:v>8.18</c:v>
                </c:pt>
                <c:pt idx="4">
                  <c:v>8.8133333333333326</c:v>
                </c:pt>
                <c:pt idx="5">
                  <c:v>8.44</c:v>
                </c:pt>
                <c:pt idx="6">
                  <c:v>7.25</c:v>
                </c:pt>
              </c:numCache>
            </c:numRef>
          </c:val>
        </c:ser>
        <c:ser>
          <c:idx val="1"/>
          <c:order val="1"/>
          <c:tx>
            <c:strRef>
              <c:f>'Maize final'!$O$28</c:f>
              <c:strCache>
                <c:ptCount val="1"/>
                <c:pt idx="0">
                  <c:v>K/Na ratio (Before Flowering)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'Maize final'!$J$29:$J$35</c:f>
                <c:numCache>
                  <c:formatCode>General</c:formatCode>
                  <c:ptCount val="7"/>
                  <c:pt idx="0">
                    <c:v>0.97929112684181285</c:v>
                  </c:pt>
                  <c:pt idx="1">
                    <c:v>0.45812419470901045</c:v>
                  </c:pt>
                  <c:pt idx="2">
                    <c:v>1.129975417628386</c:v>
                  </c:pt>
                  <c:pt idx="3">
                    <c:v>0.47680650629416288</c:v>
                  </c:pt>
                  <c:pt idx="4">
                    <c:v>0.46423174289476393</c:v>
                  </c:pt>
                  <c:pt idx="5">
                    <c:v>0.80299439599538858</c:v>
                  </c:pt>
                  <c:pt idx="6">
                    <c:v>0.75286120898874898</c:v>
                  </c:pt>
                </c:numCache>
              </c:numRef>
            </c:plus>
            <c:minus>
              <c:numRef>
                <c:f>'Maize final'!$J$29:$J$35</c:f>
                <c:numCache>
                  <c:formatCode>General</c:formatCode>
                  <c:ptCount val="7"/>
                  <c:pt idx="0">
                    <c:v>0.97929112684181285</c:v>
                  </c:pt>
                  <c:pt idx="1">
                    <c:v>0.45812419470901045</c:v>
                  </c:pt>
                  <c:pt idx="2">
                    <c:v>1.129975417628386</c:v>
                  </c:pt>
                  <c:pt idx="3">
                    <c:v>0.47680650629416288</c:v>
                  </c:pt>
                  <c:pt idx="4">
                    <c:v>0.46423174289476393</c:v>
                  </c:pt>
                  <c:pt idx="5">
                    <c:v>0.80299439599538858</c:v>
                  </c:pt>
                  <c:pt idx="6">
                    <c:v>0.75286120898874898</c:v>
                  </c:pt>
                </c:numCache>
              </c:numRef>
            </c:minus>
          </c:errBars>
          <c:cat>
            <c:strRef>
              <c:f>'Maize final'!$B$29:$B$35</c:f>
              <c:strCache>
                <c:ptCount val="7"/>
                <c:pt idx="0">
                  <c:v>GM-6</c:v>
                </c:pt>
                <c:pt idx="1">
                  <c:v>GAYMAH-1</c:v>
                </c:pt>
                <c:pt idx="2">
                  <c:v>GWL-8</c:v>
                </c:pt>
                <c:pt idx="3">
                  <c:v>GYS-0705</c:v>
                </c:pt>
                <c:pt idx="4">
                  <c:v>DMRQPM 0903</c:v>
                </c:pt>
                <c:pt idx="5">
                  <c:v>CML 260</c:v>
                </c:pt>
                <c:pt idx="6">
                  <c:v>GWL-15</c:v>
                </c:pt>
              </c:strCache>
            </c:strRef>
          </c:cat>
          <c:val>
            <c:numRef>
              <c:f>'Maize final'!$O$29:$O$35</c:f>
              <c:numCache>
                <c:formatCode>0.00</c:formatCode>
                <c:ptCount val="7"/>
                <c:pt idx="0">
                  <c:v>10.525342938431571</c:v>
                </c:pt>
                <c:pt idx="1">
                  <c:v>13.987854774403971</c:v>
                </c:pt>
                <c:pt idx="2">
                  <c:v>13.842767293529869</c:v>
                </c:pt>
                <c:pt idx="3">
                  <c:v>8.0635065571893616</c:v>
                </c:pt>
                <c:pt idx="4">
                  <c:v>8.6151695525743595</c:v>
                </c:pt>
                <c:pt idx="5">
                  <c:v>10.670806531823482</c:v>
                </c:pt>
                <c:pt idx="6">
                  <c:v>10.207677055130661</c:v>
                </c:pt>
              </c:numCache>
            </c:numRef>
          </c:val>
        </c:ser>
        <c:ser>
          <c:idx val="2"/>
          <c:order val="2"/>
          <c:tx>
            <c:strRef>
              <c:f>'Maize final'!$X$28</c:f>
              <c:strCache>
                <c:ptCount val="1"/>
                <c:pt idx="0">
                  <c:v>K/Na ratio (After Flowering)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'Maize final'!$Y$29:$Y$35</c:f>
                <c:numCache>
                  <c:formatCode>General</c:formatCode>
                  <c:ptCount val="7"/>
                  <c:pt idx="0">
                    <c:v>0.32239354657664188</c:v>
                  </c:pt>
                  <c:pt idx="1">
                    <c:v>0.33950453068791381</c:v>
                  </c:pt>
                  <c:pt idx="2">
                    <c:v>0.57728941740628092</c:v>
                  </c:pt>
                  <c:pt idx="3">
                    <c:v>0.55333266720981722</c:v>
                  </c:pt>
                  <c:pt idx="4">
                    <c:v>0.88162509545431433</c:v>
                  </c:pt>
                  <c:pt idx="5">
                    <c:v>0.11339024207498634</c:v>
                  </c:pt>
                  <c:pt idx="6">
                    <c:v>0.68180098362895647</c:v>
                  </c:pt>
                </c:numCache>
              </c:numRef>
            </c:plus>
            <c:minus>
              <c:numRef>
                <c:f>'Maize final'!$Y$29:$Y$35</c:f>
                <c:numCache>
                  <c:formatCode>General</c:formatCode>
                  <c:ptCount val="7"/>
                  <c:pt idx="0">
                    <c:v>0.32239354657664188</c:v>
                  </c:pt>
                  <c:pt idx="1">
                    <c:v>0.33950453068791381</c:v>
                  </c:pt>
                  <c:pt idx="2">
                    <c:v>0.57728941740628092</c:v>
                  </c:pt>
                  <c:pt idx="3">
                    <c:v>0.55333266720981722</c:v>
                  </c:pt>
                  <c:pt idx="4">
                    <c:v>0.88162509545431433</c:v>
                  </c:pt>
                  <c:pt idx="5">
                    <c:v>0.11339024207498634</c:v>
                  </c:pt>
                  <c:pt idx="6">
                    <c:v>0.68180098362895647</c:v>
                  </c:pt>
                </c:numCache>
              </c:numRef>
            </c:minus>
          </c:errBars>
          <c:cat>
            <c:strRef>
              <c:f>'Maize final'!$B$29:$B$35</c:f>
              <c:strCache>
                <c:ptCount val="7"/>
                <c:pt idx="0">
                  <c:v>GM-6</c:v>
                </c:pt>
                <c:pt idx="1">
                  <c:v>GAYMAH-1</c:v>
                </c:pt>
                <c:pt idx="2">
                  <c:v>GWL-8</c:v>
                </c:pt>
                <c:pt idx="3">
                  <c:v>GYS-0705</c:v>
                </c:pt>
                <c:pt idx="4">
                  <c:v>DMRQPM 0903</c:v>
                </c:pt>
                <c:pt idx="5">
                  <c:v>CML 260</c:v>
                </c:pt>
                <c:pt idx="6">
                  <c:v>GWL-15</c:v>
                </c:pt>
              </c:strCache>
            </c:strRef>
          </c:cat>
          <c:val>
            <c:numRef>
              <c:f>'Maize final'!$X$29:$X$35</c:f>
              <c:numCache>
                <c:formatCode>0.00</c:formatCode>
                <c:ptCount val="7"/>
                <c:pt idx="0">
                  <c:v>5.8371455646261508</c:v>
                </c:pt>
                <c:pt idx="1">
                  <c:v>5.2316792749034269</c:v>
                </c:pt>
                <c:pt idx="2">
                  <c:v>5.6263380722823451</c:v>
                </c:pt>
                <c:pt idx="3">
                  <c:v>5.0690564135265488</c:v>
                </c:pt>
                <c:pt idx="4">
                  <c:v>5.2558995636092396</c:v>
                </c:pt>
                <c:pt idx="5">
                  <c:v>5.8440200090950425</c:v>
                </c:pt>
                <c:pt idx="6">
                  <c:v>5.3058542290937787</c:v>
                </c:pt>
              </c:numCache>
            </c:numRef>
          </c:val>
        </c:ser>
        <c:axId val="140044928"/>
        <c:axId val="150472960"/>
      </c:barChart>
      <c:catAx>
        <c:axId val="140044928"/>
        <c:scaling>
          <c:orientation val="minMax"/>
        </c:scaling>
        <c:axPos val="b"/>
        <c:tickLblPos val="nextTo"/>
        <c:txPr>
          <a:bodyPr rot="-840000"/>
          <a:lstStyle/>
          <a:p>
            <a:pPr>
              <a:defRPr b="1"/>
            </a:pPr>
            <a:endParaRPr lang="en-US"/>
          </a:p>
        </c:txPr>
        <c:crossAx val="150472960"/>
        <c:crosses val="autoZero"/>
        <c:auto val="1"/>
        <c:lblAlgn val="ctr"/>
        <c:lblOffset val="100"/>
      </c:catAx>
      <c:valAx>
        <c:axId val="15047296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04492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t"/>
      <c:layout/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0.15412413931716479"/>
          <c:y val="8.0403787080413999E-2"/>
          <c:w val="0.73340415037383033"/>
          <c:h val="0.66563116592064209"/>
        </c:manualLayout>
      </c:layout>
      <c:barChart>
        <c:barDir val="col"/>
        <c:grouping val="clustered"/>
        <c:ser>
          <c:idx val="0"/>
          <c:order val="0"/>
          <c:tx>
            <c:strRef>
              <c:f>'Microplot Final'!$C$24</c:f>
              <c:strCache>
                <c:ptCount val="1"/>
                <c:pt idx="0">
                  <c:v>Before Flowering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cat>
            <c:strRef>
              <c:f>'Microplot Final'!$B$25:$B$32</c:f>
              <c:strCache>
                <c:ptCount val="8"/>
                <c:pt idx="0">
                  <c:v>CSB-1</c:v>
                </c:pt>
                <c:pt idx="1">
                  <c:v>CSB-2</c:v>
                </c:pt>
                <c:pt idx="2">
                  <c:v>CSB-3</c:v>
                </c:pt>
                <c:pt idx="3">
                  <c:v>CSB-5</c:v>
                </c:pt>
                <c:pt idx="4">
                  <c:v>CSB-6</c:v>
                </c:pt>
                <c:pt idx="5">
                  <c:v>CSB-7</c:v>
                </c:pt>
                <c:pt idx="6">
                  <c:v>CSB-8</c:v>
                </c:pt>
                <c:pt idx="7">
                  <c:v>CSB-10</c:v>
                </c:pt>
              </c:strCache>
            </c:strRef>
          </c:cat>
          <c:val>
            <c:numRef>
              <c:f>'Microplot Final'!$C$25:$C$32</c:f>
              <c:numCache>
                <c:formatCode>0.0</c:formatCode>
                <c:ptCount val="8"/>
                <c:pt idx="0">
                  <c:v>15.888483585200623</c:v>
                </c:pt>
                <c:pt idx="1">
                  <c:v>11.227661227661228</c:v>
                </c:pt>
                <c:pt idx="2">
                  <c:v>14.551907719609584</c:v>
                </c:pt>
                <c:pt idx="3">
                  <c:v>11.657133778201462</c:v>
                </c:pt>
                <c:pt idx="4">
                  <c:v>9.7760551248923342</c:v>
                </c:pt>
                <c:pt idx="5">
                  <c:v>7.1765366264383941</c:v>
                </c:pt>
                <c:pt idx="6">
                  <c:v>7.458920187793427</c:v>
                </c:pt>
                <c:pt idx="7">
                  <c:v>23.971656976744189</c:v>
                </c:pt>
              </c:numCache>
            </c:numRef>
          </c:val>
        </c:ser>
        <c:ser>
          <c:idx val="1"/>
          <c:order val="1"/>
          <c:tx>
            <c:strRef>
              <c:f>'Microplot Final'!$D$24</c:f>
              <c:strCache>
                <c:ptCount val="1"/>
                <c:pt idx="0">
                  <c:v>Flowering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cat>
            <c:strRef>
              <c:f>'Microplot Final'!$B$25:$B$32</c:f>
              <c:strCache>
                <c:ptCount val="8"/>
                <c:pt idx="0">
                  <c:v>CSB-1</c:v>
                </c:pt>
                <c:pt idx="1">
                  <c:v>CSB-2</c:v>
                </c:pt>
                <c:pt idx="2">
                  <c:v>CSB-3</c:v>
                </c:pt>
                <c:pt idx="3">
                  <c:v>CSB-5</c:v>
                </c:pt>
                <c:pt idx="4">
                  <c:v>CSB-6</c:v>
                </c:pt>
                <c:pt idx="5">
                  <c:v>CSB-7</c:v>
                </c:pt>
                <c:pt idx="6">
                  <c:v>CSB-8</c:v>
                </c:pt>
                <c:pt idx="7">
                  <c:v>CSB-10</c:v>
                </c:pt>
              </c:strCache>
            </c:strRef>
          </c:cat>
          <c:val>
            <c:numRef>
              <c:f>'Microplot Final'!$D$25:$D$32</c:f>
              <c:numCache>
                <c:formatCode>0.0</c:formatCode>
                <c:ptCount val="8"/>
                <c:pt idx="0">
                  <c:v>17.642100192678225</c:v>
                </c:pt>
                <c:pt idx="1">
                  <c:v>10.188561956071283</c:v>
                </c:pt>
                <c:pt idx="2">
                  <c:v>7.8390714658320286</c:v>
                </c:pt>
                <c:pt idx="3">
                  <c:v>8.2409420289855078</c:v>
                </c:pt>
                <c:pt idx="4">
                  <c:v>10.964992043646284</c:v>
                </c:pt>
                <c:pt idx="5">
                  <c:v>4.5191992123400064</c:v>
                </c:pt>
                <c:pt idx="6">
                  <c:v>6.7097457627118651</c:v>
                </c:pt>
                <c:pt idx="7">
                  <c:v>10.321372239747634</c:v>
                </c:pt>
              </c:numCache>
            </c:numRef>
          </c:val>
        </c:ser>
        <c:ser>
          <c:idx val="2"/>
          <c:order val="2"/>
          <c:tx>
            <c:strRef>
              <c:f>'Microplot Final'!$E$24</c:f>
              <c:strCache>
                <c:ptCount val="1"/>
                <c:pt idx="0">
                  <c:v>After Flowering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ysClr val="windowText" lastClr="000000"/>
              </a:solidFill>
            </a:ln>
          </c:spPr>
          <c:cat>
            <c:strRef>
              <c:f>'Microplot Final'!$B$25:$B$32</c:f>
              <c:strCache>
                <c:ptCount val="8"/>
                <c:pt idx="0">
                  <c:v>CSB-1</c:v>
                </c:pt>
                <c:pt idx="1">
                  <c:v>CSB-2</c:v>
                </c:pt>
                <c:pt idx="2">
                  <c:v>CSB-3</c:v>
                </c:pt>
                <c:pt idx="3">
                  <c:v>CSB-5</c:v>
                </c:pt>
                <c:pt idx="4">
                  <c:v>CSB-6</c:v>
                </c:pt>
                <c:pt idx="5">
                  <c:v>CSB-7</c:v>
                </c:pt>
                <c:pt idx="6">
                  <c:v>CSB-8</c:v>
                </c:pt>
                <c:pt idx="7">
                  <c:v>CSB-10</c:v>
                </c:pt>
              </c:strCache>
            </c:strRef>
          </c:cat>
          <c:val>
            <c:numRef>
              <c:f>'Microplot Final'!$E$25:$E$32</c:f>
              <c:numCache>
                <c:formatCode>0.0</c:formatCode>
                <c:ptCount val="8"/>
                <c:pt idx="0">
                  <c:v>13.900675024108002</c:v>
                </c:pt>
                <c:pt idx="1">
                  <c:v>21.621145374449338</c:v>
                </c:pt>
                <c:pt idx="2">
                  <c:v>4.3228051391862952</c:v>
                </c:pt>
                <c:pt idx="3">
                  <c:v>3.0544580886278698</c:v>
                </c:pt>
                <c:pt idx="4">
                  <c:v>4.8645475889470831</c:v>
                </c:pt>
                <c:pt idx="5">
                  <c:v>5.7799689785065365</c:v>
                </c:pt>
                <c:pt idx="6">
                  <c:v>5.8133561643835625</c:v>
                </c:pt>
                <c:pt idx="7">
                  <c:v>5.8129729729729736</c:v>
                </c:pt>
              </c:numCache>
            </c:numRef>
          </c:val>
        </c:ser>
        <c:ser>
          <c:idx val="3"/>
          <c:order val="3"/>
          <c:tx>
            <c:strRef>
              <c:f>'Microplot Final'!$F$24</c:f>
              <c:strCache>
                <c:ptCount val="1"/>
                <c:pt idx="0">
                  <c:v>Mean K/Na Ratio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cat>
            <c:strRef>
              <c:f>'Microplot Final'!$B$25:$B$32</c:f>
              <c:strCache>
                <c:ptCount val="8"/>
                <c:pt idx="0">
                  <c:v>CSB-1</c:v>
                </c:pt>
                <c:pt idx="1">
                  <c:v>CSB-2</c:v>
                </c:pt>
                <c:pt idx="2">
                  <c:v>CSB-3</c:v>
                </c:pt>
                <c:pt idx="3">
                  <c:v>CSB-5</c:v>
                </c:pt>
                <c:pt idx="4">
                  <c:v>CSB-6</c:v>
                </c:pt>
                <c:pt idx="5">
                  <c:v>CSB-7</c:v>
                </c:pt>
                <c:pt idx="6">
                  <c:v>CSB-8</c:v>
                </c:pt>
                <c:pt idx="7">
                  <c:v>CSB-10</c:v>
                </c:pt>
              </c:strCache>
            </c:strRef>
          </c:cat>
          <c:val>
            <c:numRef>
              <c:f>'Microplot Final'!$F$25:$F$32</c:f>
              <c:numCache>
                <c:formatCode>0.0</c:formatCode>
                <c:ptCount val="8"/>
                <c:pt idx="0">
                  <c:v>15.810419600662284</c:v>
                </c:pt>
                <c:pt idx="1">
                  <c:v>14.345789519393948</c:v>
                </c:pt>
                <c:pt idx="2">
                  <c:v>8.9045947748759691</c:v>
                </c:pt>
                <c:pt idx="3">
                  <c:v>7.6508446319382797</c:v>
                </c:pt>
                <c:pt idx="4">
                  <c:v>8.535198252495233</c:v>
                </c:pt>
                <c:pt idx="5">
                  <c:v>5.8252349390949787</c:v>
                </c:pt>
                <c:pt idx="6">
                  <c:v>6.6606740382962855</c:v>
                </c:pt>
                <c:pt idx="7">
                  <c:v>13.368667396488265</c:v>
                </c:pt>
              </c:numCache>
            </c:numRef>
          </c:val>
        </c:ser>
        <c:gapWidth val="214"/>
        <c:overlap val="-13"/>
        <c:axId val="136164864"/>
        <c:axId val="136646656"/>
      </c:barChart>
      <c:catAx>
        <c:axId val="13616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IN" sz="1600"/>
                  <a:t>Crosses</a:t>
                </a:r>
              </a:p>
            </c:rich>
          </c:tx>
          <c:layout/>
          <c:spPr>
            <a:solidFill>
              <a:srgbClr val="00FFFF"/>
            </a:solidFill>
            <a:ln>
              <a:solidFill>
                <a:sysClr val="windowText" lastClr="000000"/>
              </a:solidFill>
            </a:ln>
          </c:spPr>
        </c:title>
        <c:tickLblPos val="nextTo"/>
        <c:txPr>
          <a:bodyPr rot="-3360000" vert="horz"/>
          <a:lstStyle/>
          <a:p>
            <a:pPr>
              <a:defRPr b="1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6646656"/>
        <c:crosses val="autoZero"/>
        <c:auto val="1"/>
        <c:lblAlgn val="ctr"/>
        <c:lblOffset val="100"/>
      </c:catAx>
      <c:valAx>
        <c:axId val="1366466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600" b="1"/>
                </a:pPr>
                <a:r>
                  <a:rPr lang="en-IN" sz="1600" b="1"/>
                  <a:t>K/Na</a:t>
                </a:r>
                <a:r>
                  <a:rPr lang="en-IN" sz="1600" b="1" baseline="0"/>
                  <a:t> ratio in leaf tissue</a:t>
                </a:r>
                <a:endParaRPr lang="en-IN" sz="1600" b="1"/>
              </a:p>
            </c:rich>
          </c:tx>
          <c:layout>
            <c:manualLayout>
              <c:xMode val="edge"/>
              <c:yMode val="edge"/>
              <c:x val="3.2514729211413941E-2"/>
              <c:y val="0.16686389527924686"/>
            </c:manualLayout>
          </c:layout>
          <c:spPr>
            <a:solidFill>
              <a:srgbClr val="00FFFF"/>
            </a:solidFill>
            <a:ln>
              <a:solidFill>
                <a:sysClr val="windowText" lastClr="000000"/>
              </a:solidFill>
            </a:ln>
          </c:spPr>
        </c:title>
        <c:numFmt formatCode="0.0" sourceLinked="1"/>
        <c:tickLblPos val="nextTo"/>
        <c:crossAx val="136164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32578321715376"/>
          <c:y val="8.3363307716655427E-2"/>
          <c:w val="0.33399976534897113"/>
          <c:h val="0.16604369216498394"/>
        </c:manualLayout>
      </c:layout>
      <c:txPr>
        <a:bodyPr/>
        <a:lstStyle/>
        <a:p>
          <a:pPr>
            <a:defRPr sz="1100"/>
          </a:pPr>
          <a:endParaRPr lang="en-U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0.12471907113305752"/>
          <c:y val="0.17177092446777489"/>
          <c:w val="0.75735259081315398"/>
          <c:h val="0.47076771653543309"/>
        </c:manualLayout>
      </c:layout>
      <c:barChart>
        <c:barDir val="col"/>
        <c:grouping val="clustered"/>
        <c:ser>
          <c:idx val="1"/>
          <c:order val="1"/>
          <c:tx>
            <c:strRef>
              <c:f>'Large plot Final'!$C$38</c:f>
              <c:strCache>
                <c:ptCount val="1"/>
                <c:pt idx="0">
                  <c:v>K/Na Ratio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cat>
            <c:strRef>
              <c:f>'Large plot Final'!$A$39:$A$51</c:f>
              <c:strCache>
                <c:ptCount val="13"/>
                <c:pt idx="0">
                  <c:v>Arboreum</c:v>
                </c:pt>
                <c:pt idx="1">
                  <c:v>CNA 342</c:v>
                </c:pt>
                <c:pt idx="2">
                  <c:v>CNA 343</c:v>
                </c:pt>
                <c:pt idx="3">
                  <c:v>CNA 347</c:v>
                </c:pt>
                <c:pt idx="4">
                  <c:v>CNA 375</c:v>
                </c:pt>
                <c:pt idx="5">
                  <c:v>CNA 398</c:v>
                </c:pt>
                <c:pt idx="6">
                  <c:v>Herbaceum</c:v>
                </c:pt>
                <c:pt idx="7">
                  <c:v>IC 371127</c:v>
                </c:pt>
                <c:pt idx="8">
                  <c:v>IC 371117</c:v>
                </c:pt>
                <c:pt idx="9">
                  <c:v>IC 371118</c:v>
                </c:pt>
                <c:pt idx="10">
                  <c:v>IC 371099</c:v>
                </c:pt>
                <c:pt idx="11">
                  <c:v>Hirsutum Check</c:v>
                </c:pt>
                <c:pt idx="12">
                  <c:v>DTS-123</c:v>
                </c:pt>
              </c:strCache>
            </c:strRef>
          </c:cat>
          <c:val>
            <c:numRef>
              <c:f>'Large plot Final'!$C$39:$C$51</c:f>
              <c:numCache>
                <c:formatCode>General</c:formatCode>
                <c:ptCount val="13"/>
                <c:pt idx="1">
                  <c:v>7.1</c:v>
                </c:pt>
                <c:pt idx="2">
                  <c:v>8.4</c:v>
                </c:pt>
                <c:pt idx="3">
                  <c:v>11.5</c:v>
                </c:pt>
                <c:pt idx="4">
                  <c:v>8.1999999999999993</c:v>
                </c:pt>
                <c:pt idx="5">
                  <c:v>10.1</c:v>
                </c:pt>
                <c:pt idx="7">
                  <c:v>6.1</c:v>
                </c:pt>
                <c:pt idx="8">
                  <c:v>7</c:v>
                </c:pt>
                <c:pt idx="9">
                  <c:v>14.3</c:v>
                </c:pt>
                <c:pt idx="10">
                  <c:v>4.5999999999999996</c:v>
                </c:pt>
                <c:pt idx="12">
                  <c:v>8.4499999999999993</c:v>
                </c:pt>
              </c:numCache>
            </c:numRef>
          </c:val>
        </c:ser>
        <c:ser>
          <c:idx val="2"/>
          <c:order val="2"/>
          <c:tx>
            <c:strRef>
              <c:f>'Large plot Final'!$D$38</c:f>
              <c:strCache>
                <c:ptCount val="1"/>
                <c:pt idx="0">
                  <c:v>Yield (Kg)</c:v>
                </c:pt>
              </c:strCache>
            </c:strRef>
          </c:tx>
          <c:spPr>
            <a:solidFill>
              <a:srgbClr val="00FFFF"/>
            </a:solidFill>
            <a:ln>
              <a:solidFill>
                <a:sysClr val="windowText" lastClr="000000"/>
              </a:solidFill>
            </a:ln>
          </c:spPr>
          <c:cat>
            <c:strRef>
              <c:f>'Large plot Final'!$A$39:$A$51</c:f>
              <c:strCache>
                <c:ptCount val="13"/>
                <c:pt idx="0">
                  <c:v>Arboreum</c:v>
                </c:pt>
                <c:pt idx="1">
                  <c:v>CNA 342</c:v>
                </c:pt>
                <c:pt idx="2">
                  <c:v>CNA 343</c:v>
                </c:pt>
                <c:pt idx="3">
                  <c:v>CNA 347</c:v>
                </c:pt>
                <c:pt idx="4">
                  <c:v>CNA 375</c:v>
                </c:pt>
                <c:pt idx="5">
                  <c:v>CNA 398</c:v>
                </c:pt>
                <c:pt idx="6">
                  <c:v>Herbaceum</c:v>
                </c:pt>
                <c:pt idx="7">
                  <c:v>IC 371127</c:v>
                </c:pt>
                <c:pt idx="8">
                  <c:v>IC 371117</c:v>
                </c:pt>
                <c:pt idx="9">
                  <c:v>IC 371118</c:v>
                </c:pt>
                <c:pt idx="10">
                  <c:v>IC 371099</c:v>
                </c:pt>
                <c:pt idx="11">
                  <c:v>Hirsutum Check</c:v>
                </c:pt>
                <c:pt idx="12">
                  <c:v>DTS-123</c:v>
                </c:pt>
              </c:strCache>
            </c:strRef>
          </c:cat>
          <c:val>
            <c:numRef>
              <c:f>'Large plot Final'!$D$39:$D$51</c:f>
              <c:numCache>
                <c:formatCode>0.00</c:formatCode>
                <c:ptCount val="13"/>
                <c:pt idx="1">
                  <c:v>4.7074999999999996</c:v>
                </c:pt>
                <c:pt idx="2">
                  <c:v>4.6135000000000002</c:v>
                </c:pt>
                <c:pt idx="3">
                  <c:v>6.9595000000000002</c:v>
                </c:pt>
                <c:pt idx="4">
                  <c:v>8.0190000000000001</c:v>
                </c:pt>
                <c:pt idx="5">
                  <c:v>8.2014999999999993</c:v>
                </c:pt>
                <c:pt idx="7">
                  <c:v>4.9960000000000004</c:v>
                </c:pt>
                <c:pt idx="8">
                  <c:v>5.7605000000000004</c:v>
                </c:pt>
                <c:pt idx="9">
                  <c:v>4.5315000000000003</c:v>
                </c:pt>
                <c:pt idx="10">
                  <c:v>8.6620000000000008</c:v>
                </c:pt>
                <c:pt idx="12">
                  <c:v>10.005000000000001</c:v>
                </c:pt>
              </c:numCache>
            </c:numRef>
          </c:val>
        </c:ser>
        <c:gapWidth val="0"/>
        <c:axId val="136926720"/>
        <c:axId val="136928256"/>
      </c:barChart>
      <c:barChart>
        <c:barDir val="col"/>
        <c:grouping val="clustered"/>
        <c:ser>
          <c:idx val="0"/>
          <c:order val="0"/>
          <c:tx>
            <c:strRef>
              <c:f>'Large plot Final'!$B$38</c:f>
              <c:strCache>
                <c:ptCount val="1"/>
                <c:pt idx="0">
                  <c:v>Chlorophyll (mg/g FW)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cat>
            <c:strRef>
              <c:f>'Large plot Final'!$A$39:$A$51</c:f>
              <c:strCache>
                <c:ptCount val="13"/>
                <c:pt idx="0">
                  <c:v>Arboreum</c:v>
                </c:pt>
                <c:pt idx="1">
                  <c:v>CNA 342</c:v>
                </c:pt>
                <c:pt idx="2">
                  <c:v>CNA 343</c:v>
                </c:pt>
                <c:pt idx="3">
                  <c:v>CNA 347</c:v>
                </c:pt>
                <c:pt idx="4">
                  <c:v>CNA 375</c:v>
                </c:pt>
                <c:pt idx="5">
                  <c:v>CNA 398</c:v>
                </c:pt>
                <c:pt idx="6">
                  <c:v>Herbaceum</c:v>
                </c:pt>
                <c:pt idx="7">
                  <c:v>IC 371127</c:v>
                </c:pt>
                <c:pt idx="8">
                  <c:v>IC 371117</c:v>
                </c:pt>
                <c:pt idx="9">
                  <c:v>IC 371118</c:v>
                </c:pt>
                <c:pt idx="10">
                  <c:v>IC 371099</c:v>
                </c:pt>
                <c:pt idx="11">
                  <c:v>Hirsutum Check</c:v>
                </c:pt>
                <c:pt idx="12">
                  <c:v>DTS-123</c:v>
                </c:pt>
              </c:strCache>
            </c:strRef>
          </c:cat>
          <c:val>
            <c:numRef>
              <c:f>'Large plot Final'!$B$39:$B$51</c:f>
              <c:numCache>
                <c:formatCode>General</c:formatCode>
                <c:ptCount val="13"/>
                <c:pt idx="1">
                  <c:v>1.1499999999999999</c:v>
                </c:pt>
                <c:pt idx="2">
                  <c:v>1.21</c:v>
                </c:pt>
                <c:pt idx="3">
                  <c:v>1.58</c:v>
                </c:pt>
                <c:pt idx="4">
                  <c:v>1.29</c:v>
                </c:pt>
                <c:pt idx="5">
                  <c:v>1.45</c:v>
                </c:pt>
                <c:pt idx="7">
                  <c:v>1.26</c:v>
                </c:pt>
                <c:pt idx="8">
                  <c:v>1.44</c:v>
                </c:pt>
                <c:pt idx="9">
                  <c:v>1.37</c:v>
                </c:pt>
                <c:pt idx="10">
                  <c:v>1.53</c:v>
                </c:pt>
                <c:pt idx="12">
                  <c:v>1.36</c:v>
                </c:pt>
              </c:numCache>
            </c:numRef>
          </c:val>
        </c:ser>
        <c:gapWidth val="249"/>
        <c:overlap val="-2"/>
        <c:axId val="136936448"/>
        <c:axId val="136934528"/>
      </c:barChart>
      <c:catAx>
        <c:axId val="136926720"/>
        <c:scaling>
          <c:orientation val="minMax"/>
        </c:scaling>
        <c:axPos val="b"/>
        <c:tickLblPos val="nextTo"/>
        <c:crossAx val="136928256"/>
        <c:crossesAt val="0"/>
        <c:auto val="1"/>
        <c:lblAlgn val="ctr"/>
        <c:lblOffset val="100"/>
      </c:catAx>
      <c:valAx>
        <c:axId val="1369282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N"/>
                  <a:t>K/na ratio &amp; Yield</a:t>
                </a:r>
              </a:p>
            </c:rich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</c:title>
        <c:numFmt formatCode="General" sourceLinked="1"/>
        <c:tickLblPos val="nextTo"/>
        <c:crossAx val="136926720"/>
        <c:crosses val="autoZero"/>
        <c:crossBetween val="between"/>
      </c:valAx>
      <c:valAx>
        <c:axId val="13693452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N"/>
                  <a:t>Chlorophyll</a:t>
                </a:r>
              </a:p>
            </c:rich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</c:title>
        <c:numFmt formatCode="General" sourceLinked="1"/>
        <c:tickLblPos val="nextTo"/>
        <c:crossAx val="136936448"/>
        <c:crosses val="max"/>
        <c:crossBetween val="between"/>
      </c:valAx>
      <c:catAx>
        <c:axId val="136936448"/>
        <c:scaling>
          <c:orientation val="minMax"/>
        </c:scaling>
        <c:delete val="1"/>
        <c:axPos val="b"/>
        <c:tickLblPos val="none"/>
        <c:crossAx val="136934528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959755030621179E-2"/>
          <c:y val="4.0536599591717831E-3"/>
          <c:w val="0.94126246719160056"/>
          <c:h val="7.0596019247594094E-2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'15 entry final'!$G$19</c:f>
              <c:strCache>
                <c:ptCount val="1"/>
                <c:pt idx="0">
                  <c:v>Yield (gram/plot)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5.5555555555555558E-3"/>
                  <c:y val="-5.09259259259259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efg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5.5555555555555558E-3"/>
                  <c:y val="-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fg</a:t>
                    </a:r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2.7777777777777796E-3"/>
                  <c:y val="-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dLblPos val="outEnd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dLblPos val="outEnd"/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dLblPos val="outEnd"/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dLblPos val="outEnd"/>
              <c:showVal val="1"/>
            </c:dLbl>
            <c:dLbl>
              <c:idx val="10"/>
              <c:layout>
                <c:manualLayout>
                  <c:x val="0"/>
                  <c:y val="-6.01851851851852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dLblPos val="outEnd"/>
              <c:showVal val="1"/>
            </c:dLbl>
            <c:dLbl>
              <c:idx val="11"/>
              <c:layout>
                <c:manualLayout>
                  <c:x val="-2.7777777777777796E-3"/>
                  <c:y val="-7.407407407407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dLblPos val="outEnd"/>
              <c:showVal val="1"/>
            </c:dLbl>
            <c:dLbl>
              <c:idx val="12"/>
              <c:layout>
                <c:manualLayout>
                  <c:x val="1.0185067526416003E-16"/>
                  <c:y val="-1.8518518518518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dLblPos val="outEnd"/>
              <c:showVal val="1"/>
            </c:dLbl>
            <c:dLbl>
              <c:idx val="13"/>
              <c:layout>
                <c:manualLayout>
                  <c:x val="0"/>
                  <c:y val="-1.8518518518518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fg</a:t>
                    </a:r>
                  </a:p>
                </c:rich>
              </c:tx>
              <c:dLblPos val="outEnd"/>
              <c:showVal val="1"/>
            </c:dLbl>
            <c:dLbl>
              <c:idx val="14"/>
              <c:layout>
                <c:manualLayout>
                  <c:x val="0"/>
                  <c:y val="-4.1666666666666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'15 entry final'!$H$20:$H$34</c:f>
                <c:numCache>
                  <c:formatCode>General</c:formatCode>
                  <c:ptCount val="15"/>
                  <c:pt idx="0">
                    <c:v>31.451759525075044</c:v>
                  </c:pt>
                  <c:pt idx="1">
                    <c:v>155.73280951146364</c:v>
                  </c:pt>
                  <c:pt idx="2">
                    <c:v>85.353711765805727</c:v>
                  </c:pt>
                  <c:pt idx="3">
                    <c:v>104.01691749844318</c:v>
                  </c:pt>
                  <c:pt idx="4">
                    <c:v>81.630881737014121</c:v>
                  </c:pt>
                  <c:pt idx="5">
                    <c:v>17.446297180187813</c:v>
                  </c:pt>
                  <c:pt idx="6">
                    <c:v>77.974305093325057</c:v>
                  </c:pt>
                  <c:pt idx="7">
                    <c:v>48.819581405817097</c:v>
                  </c:pt>
                  <c:pt idx="8">
                    <c:v>28.350232917805052</c:v>
                  </c:pt>
                  <c:pt idx="9">
                    <c:v>40.740466018424641</c:v>
                  </c:pt>
                  <c:pt idx="10">
                    <c:v>115.82833727585303</c:v>
                  </c:pt>
                  <c:pt idx="11">
                    <c:v>163.88479126830387</c:v>
                  </c:pt>
                  <c:pt idx="12">
                    <c:v>85.484948767633981</c:v>
                  </c:pt>
                  <c:pt idx="13">
                    <c:v>70.728045869050845</c:v>
                  </c:pt>
                  <c:pt idx="14">
                    <c:v>106.59757431399152</c:v>
                  </c:pt>
                </c:numCache>
              </c:numRef>
            </c:plus>
            <c:minus>
              <c:numRef>
                <c:f>'15 entry final'!$H$20:$H$34</c:f>
                <c:numCache>
                  <c:formatCode>General</c:formatCode>
                  <c:ptCount val="15"/>
                  <c:pt idx="0">
                    <c:v>31.451759525075044</c:v>
                  </c:pt>
                  <c:pt idx="1">
                    <c:v>155.73280951146364</c:v>
                  </c:pt>
                  <c:pt idx="2">
                    <c:v>85.353711765805727</c:v>
                  </c:pt>
                  <c:pt idx="3">
                    <c:v>104.01691749844318</c:v>
                  </c:pt>
                  <c:pt idx="4">
                    <c:v>81.630881737014121</c:v>
                  </c:pt>
                  <c:pt idx="5">
                    <c:v>17.446297180187813</c:v>
                  </c:pt>
                  <c:pt idx="6">
                    <c:v>77.974305093325057</c:v>
                  </c:pt>
                  <c:pt idx="7">
                    <c:v>48.819581405817097</c:v>
                  </c:pt>
                  <c:pt idx="8">
                    <c:v>28.350232917805052</c:v>
                  </c:pt>
                  <c:pt idx="9">
                    <c:v>40.740466018424641</c:v>
                  </c:pt>
                  <c:pt idx="10">
                    <c:v>115.82833727585303</c:v>
                  </c:pt>
                  <c:pt idx="11">
                    <c:v>163.88479126830387</c:v>
                  </c:pt>
                  <c:pt idx="12">
                    <c:v>85.484948767633981</c:v>
                  </c:pt>
                  <c:pt idx="13">
                    <c:v>70.728045869050845</c:v>
                  </c:pt>
                  <c:pt idx="14">
                    <c:v>106.59757431399152</c:v>
                  </c:pt>
                </c:numCache>
              </c:numRef>
            </c:minus>
          </c:errBars>
          <c:cat>
            <c:strRef>
              <c:f>'15 entry final'!$F$20:$F$34</c:f>
              <c:strCache>
                <c:ptCount val="15"/>
                <c:pt idx="0">
                  <c:v>ADC-1</c:v>
                </c:pt>
                <c:pt idx="1">
                  <c:v>G.Cot-13</c:v>
                </c:pt>
                <c:pt idx="2">
                  <c:v>G.cot-21</c:v>
                </c:pt>
                <c:pt idx="3">
                  <c:v>GBav-120</c:v>
                </c:pt>
                <c:pt idx="4">
                  <c:v>GBav-124</c:v>
                </c:pt>
                <c:pt idx="5">
                  <c:v>GBav-131</c:v>
                </c:pt>
                <c:pt idx="6">
                  <c:v>Gbav 109</c:v>
                </c:pt>
                <c:pt idx="7">
                  <c:v>Gheti</c:v>
                </c:pt>
                <c:pt idx="8">
                  <c:v>GVhv-235</c:v>
                </c:pt>
                <c:pt idx="9">
                  <c:v>GVhv-473</c:v>
                </c:pt>
                <c:pt idx="10">
                  <c:v>GVhv-629</c:v>
                </c:pt>
                <c:pt idx="11">
                  <c:v>GVhv-655</c:v>
                </c:pt>
                <c:pt idx="12">
                  <c:v>GVhv-682</c:v>
                </c:pt>
                <c:pt idx="13">
                  <c:v>V-797</c:v>
                </c:pt>
                <c:pt idx="14">
                  <c:v>Wagad-8</c:v>
                </c:pt>
              </c:strCache>
            </c:strRef>
          </c:cat>
          <c:val>
            <c:numRef>
              <c:f>'15 entry final'!$G$20:$G$34</c:f>
              <c:numCache>
                <c:formatCode>General</c:formatCode>
                <c:ptCount val="15"/>
                <c:pt idx="0">
                  <c:v>373.33</c:v>
                </c:pt>
                <c:pt idx="1">
                  <c:v>531.33000000000004</c:v>
                </c:pt>
                <c:pt idx="2">
                  <c:v>501.33</c:v>
                </c:pt>
                <c:pt idx="3">
                  <c:v>1318.67</c:v>
                </c:pt>
                <c:pt idx="4">
                  <c:v>1074.67</c:v>
                </c:pt>
                <c:pt idx="5">
                  <c:v>1222</c:v>
                </c:pt>
                <c:pt idx="6">
                  <c:v>1510.67</c:v>
                </c:pt>
                <c:pt idx="7">
                  <c:v>1294.67</c:v>
                </c:pt>
                <c:pt idx="8">
                  <c:v>1035.33</c:v>
                </c:pt>
                <c:pt idx="9">
                  <c:v>850.67</c:v>
                </c:pt>
                <c:pt idx="10">
                  <c:v>780.67</c:v>
                </c:pt>
                <c:pt idx="11">
                  <c:v>901.33</c:v>
                </c:pt>
                <c:pt idx="12">
                  <c:v>1178</c:v>
                </c:pt>
                <c:pt idx="13">
                  <c:v>472</c:v>
                </c:pt>
                <c:pt idx="14">
                  <c:v>358.67</c:v>
                </c:pt>
              </c:numCache>
            </c:numRef>
          </c:val>
        </c:ser>
        <c:dLbls>
          <c:showVal val="1"/>
        </c:dLbls>
        <c:axId val="136895872"/>
        <c:axId val="136971776"/>
      </c:barChart>
      <c:catAx>
        <c:axId val="136895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 sz="1000" b="1" i="0" u="none" strike="noStrike" baseline="0"/>
                  <a:t>Fig. 4: Yield of Desi cotton genotypes in saline condition</a:t>
                </a:r>
                <a:endParaRPr lang="en-IN"/>
              </a:p>
            </c:rich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</c:title>
        <c:tickLblPos val="nextTo"/>
        <c:crossAx val="136971776"/>
        <c:crosses val="autoZero"/>
        <c:auto val="1"/>
        <c:lblAlgn val="ctr"/>
        <c:lblOffset val="100"/>
      </c:catAx>
      <c:valAx>
        <c:axId val="136971776"/>
        <c:scaling>
          <c:orientation val="minMax"/>
        </c:scaling>
        <c:axPos val="l"/>
        <c:numFmt formatCode="General" sourceLinked="1"/>
        <c:tickLblPos val="nextTo"/>
        <c:crossAx val="13689587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</c:legend>
    <c:plotVisOnly val="1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16885389326336"/>
          <c:y val="0.18565981335666376"/>
          <c:w val="0.83222134733158515"/>
          <c:h val="0.58168926800816567"/>
        </c:manualLayout>
      </c:layout>
      <c:barChart>
        <c:barDir val="col"/>
        <c:grouping val="clustered"/>
        <c:ser>
          <c:idx val="0"/>
          <c:order val="0"/>
          <c:tx>
            <c:strRef>
              <c:f>Wheat!$B$13</c:f>
              <c:strCache>
                <c:ptCount val="1"/>
                <c:pt idx="0">
                  <c:v>Total chlorophyll (mg/g FW)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Wheat!$C$14:$C$21</c:f>
                <c:numCache>
                  <c:formatCode>General</c:formatCode>
                  <c:ptCount val="8"/>
                  <c:pt idx="0">
                    <c:v>0.24025261830577063</c:v>
                  </c:pt>
                  <c:pt idx="1">
                    <c:v>0.36477758383915143</c:v>
                  </c:pt>
                  <c:pt idx="2">
                    <c:v>0.42839105626703233</c:v>
                  </c:pt>
                  <c:pt idx="3">
                    <c:v>0.1351291656799565</c:v>
                  </c:pt>
                  <c:pt idx="4">
                    <c:v>8.9272300061843349E-2</c:v>
                  </c:pt>
                  <c:pt idx="5">
                    <c:v>0.38034309762973717</c:v>
                  </c:pt>
                  <c:pt idx="6">
                    <c:v>0.242000503633827</c:v>
                  </c:pt>
                  <c:pt idx="7">
                    <c:v>9.2209590483223858E-2</c:v>
                  </c:pt>
                </c:numCache>
              </c:numRef>
            </c:plus>
            <c:minus>
              <c:numRef>
                <c:f>Wheat!$C$14:$C$21</c:f>
                <c:numCache>
                  <c:formatCode>General</c:formatCode>
                  <c:ptCount val="8"/>
                  <c:pt idx="0">
                    <c:v>0.24025261830577063</c:v>
                  </c:pt>
                  <c:pt idx="1">
                    <c:v>0.36477758383915143</c:v>
                  </c:pt>
                  <c:pt idx="2">
                    <c:v>0.42839105626703233</c:v>
                  </c:pt>
                  <c:pt idx="3">
                    <c:v>0.1351291656799565</c:v>
                  </c:pt>
                  <c:pt idx="4">
                    <c:v>8.9272300061843349E-2</c:v>
                  </c:pt>
                  <c:pt idx="5">
                    <c:v>0.38034309762973717</c:v>
                  </c:pt>
                  <c:pt idx="6">
                    <c:v>0.242000503633827</c:v>
                  </c:pt>
                  <c:pt idx="7">
                    <c:v>9.2209590483223858E-2</c:v>
                  </c:pt>
                </c:numCache>
              </c:numRef>
            </c:minus>
          </c:errBars>
          <c:cat>
            <c:strRef>
              <c:f>Wheat!$A$14:$A$21</c:f>
              <c:strCache>
                <c:ptCount val="8"/>
                <c:pt idx="0">
                  <c:v>KRL 345</c:v>
                </c:pt>
                <c:pt idx="1">
                  <c:v>KRl 210</c:v>
                </c:pt>
                <c:pt idx="2">
                  <c:v>KRL 347</c:v>
                </c:pt>
                <c:pt idx="3">
                  <c:v>KLP 1006</c:v>
                </c:pt>
                <c:pt idx="4">
                  <c:v>WH 1145</c:v>
                </c:pt>
                <c:pt idx="5">
                  <c:v>KRL 346</c:v>
                </c:pt>
                <c:pt idx="6">
                  <c:v>KRL 19</c:v>
                </c:pt>
                <c:pt idx="7">
                  <c:v>LOK BOLD</c:v>
                </c:pt>
              </c:strCache>
            </c:strRef>
          </c:cat>
          <c:val>
            <c:numRef>
              <c:f>Wheat!$B$14:$B$21</c:f>
              <c:numCache>
                <c:formatCode>0.00</c:formatCode>
                <c:ptCount val="8"/>
                <c:pt idx="0">
                  <c:v>2.7181866666666665</c:v>
                </c:pt>
                <c:pt idx="1">
                  <c:v>3.6500208333333326</c:v>
                </c:pt>
                <c:pt idx="2">
                  <c:v>3.2181374999999997</c:v>
                </c:pt>
                <c:pt idx="3">
                  <c:v>3.2061791666666664</c:v>
                </c:pt>
                <c:pt idx="4">
                  <c:v>3.3291200000000001</c:v>
                </c:pt>
                <c:pt idx="5">
                  <c:v>3.0814924999999995</c:v>
                </c:pt>
                <c:pt idx="6">
                  <c:v>3.5766991666666663</c:v>
                </c:pt>
                <c:pt idx="7">
                  <c:v>2.7669174999999995</c:v>
                </c:pt>
              </c:numCache>
            </c:numRef>
          </c:val>
        </c:ser>
        <c:ser>
          <c:idx val="1"/>
          <c:order val="1"/>
          <c:tx>
            <c:strRef>
              <c:f>Wheat!$D$13</c:f>
              <c:strCache>
                <c:ptCount val="1"/>
                <c:pt idx="0">
                  <c:v>Na content (ppm)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errBars>
            <c:errBarType val="both"/>
            <c:errValType val="cust"/>
            <c:plus>
              <c:numRef>
                <c:f>Wheat!$E$14:$E$21</c:f>
                <c:numCache>
                  <c:formatCode>General</c:formatCode>
                  <c:ptCount val="8"/>
                  <c:pt idx="0">
                    <c:v>0.65261865672926855</c:v>
                  </c:pt>
                  <c:pt idx="1">
                    <c:v>0.94511022284881396</c:v>
                  </c:pt>
                  <c:pt idx="2">
                    <c:v>0.67025699880303069</c:v>
                  </c:pt>
                  <c:pt idx="3">
                    <c:v>0.70354657115060759</c:v>
                  </c:pt>
                  <c:pt idx="4">
                    <c:v>0.56765599911684106</c:v>
                  </c:pt>
                  <c:pt idx="5">
                    <c:v>0.68411337591886456</c:v>
                  </c:pt>
                  <c:pt idx="6">
                    <c:v>0.87381030232221424</c:v>
                  </c:pt>
                  <c:pt idx="7">
                    <c:v>0.28689913055134042</c:v>
                  </c:pt>
                </c:numCache>
              </c:numRef>
            </c:plus>
            <c:minus>
              <c:numRef>
                <c:f>Wheat!$E$14:$E$21</c:f>
                <c:numCache>
                  <c:formatCode>General</c:formatCode>
                  <c:ptCount val="8"/>
                  <c:pt idx="0">
                    <c:v>0.65261865672926855</c:v>
                  </c:pt>
                  <c:pt idx="1">
                    <c:v>0.94511022284881396</c:v>
                  </c:pt>
                  <c:pt idx="2">
                    <c:v>0.67025699880303069</c:v>
                  </c:pt>
                  <c:pt idx="3">
                    <c:v>0.70354657115060759</c:v>
                  </c:pt>
                  <c:pt idx="4">
                    <c:v>0.56765599911684106</c:v>
                  </c:pt>
                  <c:pt idx="5">
                    <c:v>0.68411337591886456</c:v>
                  </c:pt>
                  <c:pt idx="6">
                    <c:v>0.87381030232221424</c:v>
                  </c:pt>
                  <c:pt idx="7">
                    <c:v>0.28689913055134042</c:v>
                  </c:pt>
                </c:numCache>
              </c:numRef>
            </c:minus>
          </c:errBars>
          <c:cat>
            <c:strRef>
              <c:f>Wheat!$A$14:$A$21</c:f>
              <c:strCache>
                <c:ptCount val="8"/>
                <c:pt idx="0">
                  <c:v>KRL 345</c:v>
                </c:pt>
                <c:pt idx="1">
                  <c:v>KRl 210</c:v>
                </c:pt>
                <c:pt idx="2">
                  <c:v>KRL 347</c:v>
                </c:pt>
                <c:pt idx="3">
                  <c:v>KLP 1006</c:v>
                </c:pt>
                <c:pt idx="4">
                  <c:v>WH 1145</c:v>
                </c:pt>
                <c:pt idx="5">
                  <c:v>KRL 346</c:v>
                </c:pt>
                <c:pt idx="6">
                  <c:v>KRL 19</c:v>
                </c:pt>
                <c:pt idx="7">
                  <c:v>LOK BOLD</c:v>
                </c:pt>
              </c:strCache>
            </c:strRef>
          </c:cat>
          <c:val>
            <c:numRef>
              <c:f>Wheat!$D$14:$D$21</c:f>
              <c:numCache>
                <c:formatCode>0.00</c:formatCode>
                <c:ptCount val="8"/>
                <c:pt idx="0">
                  <c:v>7.3233333333333333</c:v>
                </c:pt>
                <c:pt idx="1">
                  <c:v>5.4899999999999993</c:v>
                </c:pt>
                <c:pt idx="2">
                  <c:v>6.2033333333333331</c:v>
                </c:pt>
                <c:pt idx="3">
                  <c:v>6.913333333333334</c:v>
                </c:pt>
                <c:pt idx="4">
                  <c:v>6.3599999999999994</c:v>
                </c:pt>
                <c:pt idx="5">
                  <c:v>6.6766666666666667</c:v>
                </c:pt>
                <c:pt idx="6">
                  <c:v>7.5166666666666666</c:v>
                </c:pt>
                <c:pt idx="7">
                  <c:v>5.7766666666666664</c:v>
                </c:pt>
              </c:numCache>
            </c:numRef>
          </c:val>
        </c:ser>
        <c:ser>
          <c:idx val="2"/>
          <c:order val="2"/>
          <c:tx>
            <c:strRef>
              <c:f>Wheat!$H$13</c:f>
              <c:strCache>
                <c:ptCount val="1"/>
                <c:pt idx="0">
                  <c:v>K/Na ratio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Wheat!$I$14:$I$21</c:f>
                <c:numCache>
                  <c:formatCode>General</c:formatCode>
                  <c:ptCount val="8"/>
                  <c:pt idx="0">
                    <c:v>1.1523807193316389</c:v>
                  </c:pt>
                  <c:pt idx="1">
                    <c:v>1.0561597911913643</c:v>
                  </c:pt>
                  <c:pt idx="2">
                    <c:v>0.39551495160122663</c:v>
                  </c:pt>
                  <c:pt idx="3">
                    <c:v>0.96207102657832722</c:v>
                  </c:pt>
                  <c:pt idx="4">
                    <c:v>1.6693842872099225</c:v>
                  </c:pt>
                  <c:pt idx="5">
                    <c:v>1.3659890387343689</c:v>
                  </c:pt>
                  <c:pt idx="6">
                    <c:v>1.286975065406269</c:v>
                  </c:pt>
                  <c:pt idx="7">
                    <c:v>1.1296614058128036</c:v>
                  </c:pt>
                </c:numCache>
              </c:numRef>
            </c:plus>
            <c:minus>
              <c:numRef>
                <c:f>Wheat!$I$14:$I$21</c:f>
                <c:numCache>
                  <c:formatCode>General</c:formatCode>
                  <c:ptCount val="8"/>
                  <c:pt idx="0">
                    <c:v>1.1523807193316389</c:v>
                  </c:pt>
                  <c:pt idx="1">
                    <c:v>1.0561597911913643</c:v>
                  </c:pt>
                  <c:pt idx="2">
                    <c:v>0.39551495160122663</c:v>
                  </c:pt>
                  <c:pt idx="3">
                    <c:v>0.96207102657832722</c:v>
                  </c:pt>
                  <c:pt idx="4">
                    <c:v>1.6693842872099225</c:v>
                  </c:pt>
                  <c:pt idx="5">
                    <c:v>1.3659890387343689</c:v>
                  </c:pt>
                  <c:pt idx="6">
                    <c:v>1.286975065406269</c:v>
                  </c:pt>
                  <c:pt idx="7">
                    <c:v>1.1296614058128036</c:v>
                  </c:pt>
                </c:numCache>
              </c:numRef>
            </c:minus>
            <c:spPr>
              <a:ln>
                <a:solidFill>
                  <a:sysClr val="windowText" lastClr="000000"/>
                </a:solidFill>
              </a:ln>
            </c:spPr>
          </c:errBars>
          <c:cat>
            <c:strRef>
              <c:f>Wheat!$A$14:$A$21</c:f>
              <c:strCache>
                <c:ptCount val="8"/>
                <c:pt idx="0">
                  <c:v>KRL 345</c:v>
                </c:pt>
                <c:pt idx="1">
                  <c:v>KRl 210</c:v>
                </c:pt>
                <c:pt idx="2">
                  <c:v>KRL 347</c:v>
                </c:pt>
                <c:pt idx="3">
                  <c:v>KLP 1006</c:v>
                </c:pt>
                <c:pt idx="4">
                  <c:v>WH 1145</c:v>
                </c:pt>
                <c:pt idx="5">
                  <c:v>KRL 346</c:v>
                </c:pt>
                <c:pt idx="6">
                  <c:v>KRL 19</c:v>
                </c:pt>
                <c:pt idx="7">
                  <c:v>LOK BOLD</c:v>
                </c:pt>
              </c:strCache>
            </c:strRef>
          </c:cat>
          <c:val>
            <c:numRef>
              <c:f>Wheat!$H$14:$H$21</c:f>
              <c:numCache>
                <c:formatCode>0.00</c:formatCode>
                <c:ptCount val="8"/>
                <c:pt idx="0">
                  <c:v>10.570643122240801</c:v>
                </c:pt>
                <c:pt idx="1">
                  <c:v>11.849342253882357</c:v>
                </c:pt>
                <c:pt idx="2">
                  <c:v>11.387993534215681</c:v>
                </c:pt>
                <c:pt idx="3">
                  <c:v>8.8680270309517883</c:v>
                </c:pt>
                <c:pt idx="4">
                  <c:v>10.250914266875105</c:v>
                </c:pt>
                <c:pt idx="5">
                  <c:v>10.027829412303667</c:v>
                </c:pt>
                <c:pt idx="6">
                  <c:v>9.1046067381927784</c:v>
                </c:pt>
                <c:pt idx="7">
                  <c:v>10.085577360026983</c:v>
                </c:pt>
              </c:numCache>
            </c:numRef>
          </c:val>
        </c:ser>
        <c:ser>
          <c:idx val="3"/>
          <c:order val="3"/>
          <c:tx>
            <c:strRef>
              <c:f>Wheat!$J$13</c:f>
              <c:strCache>
                <c:ptCount val="1"/>
                <c:pt idx="0">
                  <c:v>Yield (t/ha)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Wheat!$K$14:$K$21</c:f>
                <c:numCache>
                  <c:formatCode>General</c:formatCode>
                  <c:ptCount val="8"/>
                  <c:pt idx="0">
                    <c:v>0.17486502731471715</c:v>
                  </c:pt>
                  <c:pt idx="1">
                    <c:v>0.3048263622312099</c:v>
                  </c:pt>
                  <c:pt idx="2">
                    <c:v>0.57047816201265489</c:v>
                  </c:pt>
                  <c:pt idx="3">
                    <c:v>0.40366983208227764</c:v>
                  </c:pt>
                  <c:pt idx="4">
                    <c:v>0.40252756979422261</c:v>
                  </c:pt>
                  <c:pt idx="5">
                    <c:v>0.19137397942249348</c:v>
                  </c:pt>
                  <c:pt idx="6">
                    <c:v>0.46008308428418143</c:v>
                  </c:pt>
                  <c:pt idx="7">
                    <c:v>0.12477179168385789</c:v>
                  </c:pt>
                </c:numCache>
              </c:numRef>
            </c:plus>
            <c:minus>
              <c:numRef>
                <c:f>Wheat!$K$14:$K$21</c:f>
                <c:numCache>
                  <c:formatCode>General</c:formatCode>
                  <c:ptCount val="8"/>
                  <c:pt idx="0">
                    <c:v>0.17486502731471715</c:v>
                  </c:pt>
                  <c:pt idx="1">
                    <c:v>0.3048263622312099</c:v>
                  </c:pt>
                  <c:pt idx="2">
                    <c:v>0.57047816201265489</c:v>
                  </c:pt>
                  <c:pt idx="3">
                    <c:v>0.40366983208227764</c:v>
                  </c:pt>
                  <c:pt idx="4">
                    <c:v>0.40252756979422261</c:v>
                  </c:pt>
                  <c:pt idx="5">
                    <c:v>0.19137397942249348</c:v>
                  </c:pt>
                  <c:pt idx="6">
                    <c:v>0.46008308428418143</c:v>
                  </c:pt>
                  <c:pt idx="7">
                    <c:v>0.12477179168385789</c:v>
                  </c:pt>
                </c:numCache>
              </c:numRef>
            </c:minus>
          </c:errBars>
          <c:val>
            <c:numRef>
              <c:f>Wheat!$J$14:$J$21</c:f>
              <c:numCache>
                <c:formatCode>General</c:formatCode>
                <c:ptCount val="8"/>
                <c:pt idx="0">
                  <c:v>5.6773333333333333</c:v>
                </c:pt>
                <c:pt idx="1">
                  <c:v>4.0426666666666664</c:v>
                </c:pt>
                <c:pt idx="2">
                  <c:v>5.2359999999999998</c:v>
                </c:pt>
                <c:pt idx="3">
                  <c:v>2.9319999999999999</c:v>
                </c:pt>
                <c:pt idx="4">
                  <c:v>4.8866666666666667</c:v>
                </c:pt>
                <c:pt idx="5">
                  <c:v>5.3359999999999994</c:v>
                </c:pt>
                <c:pt idx="6">
                  <c:v>3.3933333333333331</c:v>
                </c:pt>
                <c:pt idx="7">
                  <c:v>2.86</c:v>
                </c:pt>
              </c:numCache>
            </c:numRef>
          </c:val>
        </c:ser>
        <c:axId val="138258688"/>
        <c:axId val="138269056"/>
      </c:barChart>
      <c:catAx>
        <c:axId val="138258688"/>
        <c:scaling>
          <c:orientation val="minMax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1" i="0" kern="1200" baseline="0">
                    <a:solidFill>
                      <a:srgbClr val="000000"/>
                    </a:solidFill>
                  </a:rPr>
                  <a:t>Fig. 5: Performance of wheat genotypes under saline water irrigation</a:t>
                </a:r>
                <a:endParaRPr lang="en-IN" sz="1200"/>
              </a:p>
            </c:rich>
          </c:tx>
        </c:title>
        <c:tickLblPos val="nextTo"/>
        <c:txPr>
          <a:bodyPr rot="-3420000"/>
          <a:lstStyle/>
          <a:p>
            <a:pPr>
              <a:defRPr/>
            </a:pPr>
            <a:endParaRPr lang="en-US"/>
          </a:p>
        </c:txPr>
        <c:crossAx val="138269056"/>
        <c:crosses val="autoZero"/>
        <c:auto val="1"/>
        <c:lblAlgn val="ctr"/>
        <c:lblOffset val="100"/>
      </c:catAx>
      <c:valAx>
        <c:axId val="138269056"/>
        <c:scaling>
          <c:orientation val="minMax"/>
        </c:scaling>
        <c:axPos val="l"/>
        <c:numFmt formatCode="0.00" sourceLinked="1"/>
        <c:tickLblPos val="nextTo"/>
        <c:crossAx val="13825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99138569217305"/>
          <c:y val="2.9725892959032288E-2"/>
          <c:w val="0.8328320209973753"/>
          <c:h val="0.1701646769960207"/>
        </c:manualLayout>
      </c:layout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201839</xdr:colOff>
      <xdr:row>38</xdr:row>
      <xdr:rowOff>107156</xdr:rowOff>
    </xdr:from>
    <xdr:to>
      <xdr:col>26</xdr:col>
      <xdr:colOff>945696</xdr:colOff>
      <xdr:row>60</xdr:row>
      <xdr:rowOff>74839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1190625</xdr:colOff>
      <xdr:row>37</xdr:row>
      <xdr:rowOff>95251</xdr:rowOff>
    </xdr:from>
    <xdr:to>
      <xdr:col>11</xdr:col>
      <xdr:colOff>2047875</xdr:colOff>
      <xdr:row>51</xdr:row>
      <xdr:rowOff>166688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2262187</xdr:colOff>
      <xdr:row>36</xdr:row>
      <xdr:rowOff>105453</xdr:rowOff>
    </xdr:from>
    <xdr:to>
      <xdr:col>5</xdr:col>
      <xdr:colOff>1464468</xdr:colOff>
      <xdr:row>55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36</xdr:row>
      <xdr:rowOff>66675</xdr:rowOff>
    </xdr:from>
    <xdr:to>
      <xdr:col>13</xdr:col>
      <xdr:colOff>180974</xdr:colOff>
      <xdr:row>50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18</xdr:row>
      <xdr:rowOff>47625</xdr:rowOff>
    </xdr:from>
    <xdr:to>
      <xdr:col>4</xdr:col>
      <xdr:colOff>428625</xdr:colOff>
      <xdr:row>32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28</xdr:row>
      <xdr:rowOff>0</xdr:rowOff>
    </xdr:from>
    <xdr:to>
      <xdr:col>19</xdr:col>
      <xdr:colOff>28575</xdr:colOff>
      <xdr:row>47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5"/>
  <sheetViews>
    <sheetView zoomScale="60" zoomScaleNormal="60" workbookViewId="0">
      <selection activeCell="F24" sqref="F24"/>
    </sheetView>
  </sheetViews>
  <sheetFormatPr defaultRowHeight="15"/>
  <cols>
    <col min="1" max="14" width="6.5703125" customWidth="1"/>
    <col min="15" max="15" width="14.140625" customWidth="1"/>
  </cols>
  <sheetData>
    <row r="1" spans="1:17" ht="57" customHeight="1">
      <c r="A1" s="3" t="s">
        <v>0</v>
      </c>
      <c r="B1" s="3" t="s">
        <v>1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63</v>
      </c>
      <c r="J1" s="3" t="s">
        <v>64</v>
      </c>
      <c r="K1" s="3" t="s">
        <v>65</v>
      </c>
      <c r="L1" s="3" t="s">
        <v>66</v>
      </c>
      <c r="M1" s="3" t="s">
        <v>67</v>
      </c>
      <c r="N1" s="3" t="s">
        <v>82</v>
      </c>
      <c r="O1" s="3" t="s">
        <v>83</v>
      </c>
      <c r="P1" s="3" t="s">
        <v>84</v>
      </c>
      <c r="Q1" s="3" t="s">
        <v>85</v>
      </c>
    </row>
    <row r="2" spans="1:17">
      <c r="A2" t="s">
        <v>2</v>
      </c>
      <c r="B2" t="s">
        <v>77</v>
      </c>
      <c r="C2" s="1">
        <v>75.13</v>
      </c>
      <c r="D2" s="1">
        <v>15.32</v>
      </c>
      <c r="E2" s="1">
        <v>77.56</v>
      </c>
      <c r="F2" s="1">
        <v>1.92</v>
      </c>
      <c r="G2" s="1">
        <v>2</v>
      </c>
      <c r="H2" s="1">
        <v>1.96</v>
      </c>
      <c r="I2">
        <v>0.13600000000000001</v>
      </c>
      <c r="J2">
        <v>0.30599999999999999</v>
      </c>
      <c r="K2">
        <v>0.65016499999999988</v>
      </c>
      <c r="L2">
        <v>0.44004499999999991</v>
      </c>
      <c r="M2">
        <v>0.21028999999999998</v>
      </c>
      <c r="N2" s="4">
        <v>0.245</v>
      </c>
      <c r="O2" s="55">
        <f>N2/(0.0175*0.5)</f>
        <v>27.999999999999996</v>
      </c>
      <c r="P2" s="4">
        <v>1.0620000000000001</v>
      </c>
      <c r="Q2">
        <v>0.74340000000000006</v>
      </c>
    </row>
    <row r="3" spans="1:17">
      <c r="A3" t="s">
        <v>3</v>
      </c>
      <c r="B3" t="s">
        <v>78</v>
      </c>
      <c r="C3" s="1">
        <v>73.22</v>
      </c>
      <c r="D3" s="1">
        <v>14.05</v>
      </c>
      <c r="E3" s="1">
        <v>86.43</v>
      </c>
      <c r="F3" s="1">
        <v>1.79</v>
      </c>
      <c r="G3" s="1">
        <v>1.68</v>
      </c>
      <c r="H3" s="1">
        <v>1.8</v>
      </c>
      <c r="I3">
        <v>0.249</v>
      </c>
      <c r="J3">
        <v>0.628</v>
      </c>
      <c r="K3">
        <v>1.2582949999999997</v>
      </c>
      <c r="L3">
        <v>0.91322374999999989</v>
      </c>
      <c r="M3">
        <v>0.34538249999999998</v>
      </c>
      <c r="N3" s="4">
        <v>0.29599999999999999</v>
      </c>
      <c r="O3" s="55">
        <f t="shared" ref="O3:O15" si="0">N3/(0.0175*0.5)</f>
        <v>33.828571428571422</v>
      </c>
      <c r="P3" s="4">
        <v>1.173</v>
      </c>
      <c r="Q3">
        <v>0.82109999999999994</v>
      </c>
    </row>
    <row r="4" spans="1:17">
      <c r="A4" t="s">
        <v>4</v>
      </c>
      <c r="B4" t="s">
        <v>79</v>
      </c>
      <c r="C4" s="2">
        <v>48.91</v>
      </c>
      <c r="D4" s="1">
        <v>14.83</v>
      </c>
      <c r="E4" s="1">
        <v>69.67</v>
      </c>
      <c r="F4" s="1">
        <v>1.88</v>
      </c>
      <c r="G4" s="1">
        <v>2</v>
      </c>
      <c r="H4" s="1">
        <v>1.71</v>
      </c>
      <c r="I4">
        <v>0.24</v>
      </c>
      <c r="J4">
        <v>0.54100000000000004</v>
      </c>
      <c r="K4">
        <v>1.1483525000000001</v>
      </c>
      <c r="L4">
        <v>0.77813749999999993</v>
      </c>
      <c r="M4">
        <v>0.37051499999999987</v>
      </c>
      <c r="N4" s="4">
        <v>0.27800000000000002</v>
      </c>
      <c r="O4" s="55">
        <f t="shared" si="0"/>
        <v>31.771428571428572</v>
      </c>
      <c r="P4" s="4">
        <v>1.298</v>
      </c>
      <c r="Q4">
        <v>0.90859999999999996</v>
      </c>
    </row>
    <row r="5" spans="1:17">
      <c r="A5" t="s">
        <v>5</v>
      </c>
      <c r="B5" t="s">
        <v>80</v>
      </c>
      <c r="C5" s="1">
        <v>65.400000000000006</v>
      </c>
      <c r="D5" s="1">
        <v>20.87</v>
      </c>
      <c r="E5" s="1">
        <v>81.78</v>
      </c>
      <c r="F5" s="1">
        <v>1.47</v>
      </c>
      <c r="G5" s="1">
        <v>1.7</v>
      </c>
      <c r="H5" s="1">
        <v>1.61</v>
      </c>
      <c r="I5">
        <v>0.26800000000000002</v>
      </c>
      <c r="J5">
        <v>0.64500000000000002</v>
      </c>
      <c r="K5">
        <v>1.3233125000000001</v>
      </c>
      <c r="L5">
        <v>0.9338225</v>
      </c>
      <c r="M5">
        <v>0.38982500000000003</v>
      </c>
      <c r="N5" s="4">
        <v>0.26700000000000002</v>
      </c>
      <c r="O5" s="55">
        <f t="shared" si="0"/>
        <v>30.514285714285712</v>
      </c>
      <c r="P5" s="4">
        <v>1.202</v>
      </c>
      <c r="Q5">
        <v>0.84140000000000004</v>
      </c>
    </row>
    <row r="6" spans="1:17">
      <c r="A6" t="s">
        <v>6</v>
      </c>
      <c r="B6" t="s">
        <v>81</v>
      </c>
      <c r="C6" s="1">
        <v>64.91</v>
      </c>
      <c r="D6" s="1">
        <v>24.06</v>
      </c>
      <c r="E6" s="1">
        <v>34.94</v>
      </c>
      <c r="F6" s="1">
        <v>2</v>
      </c>
      <c r="G6" s="1">
        <v>2.1</v>
      </c>
      <c r="H6" s="1">
        <v>2</v>
      </c>
      <c r="I6">
        <v>0.253</v>
      </c>
      <c r="J6">
        <v>0.61499999999999999</v>
      </c>
      <c r="K6">
        <v>1.2553624999999997</v>
      </c>
      <c r="L6">
        <v>0.89124124999999998</v>
      </c>
      <c r="M6">
        <v>0.36443749999999997</v>
      </c>
      <c r="N6" s="4">
        <v>0.23799999999999999</v>
      </c>
      <c r="O6" s="55">
        <f t="shared" si="0"/>
        <v>27.199999999999996</v>
      </c>
      <c r="P6" s="4">
        <v>1.3580000000000001</v>
      </c>
      <c r="Q6">
        <v>0.9506</v>
      </c>
    </row>
    <row r="7" spans="1:17">
      <c r="A7" t="s">
        <v>7</v>
      </c>
      <c r="B7" t="s">
        <v>68</v>
      </c>
      <c r="C7" s="1">
        <v>57.05</v>
      </c>
      <c r="D7" s="1">
        <v>25.79</v>
      </c>
      <c r="E7" s="1">
        <v>52.44</v>
      </c>
      <c r="F7" s="1">
        <v>1.86</v>
      </c>
      <c r="G7" s="1">
        <v>1.7</v>
      </c>
      <c r="H7" s="1">
        <v>1.86</v>
      </c>
      <c r="I7">
        <v>0.20899999999999999</v>
      </c>
      <c r="J7">
        <v>0.49099999999999999</v>
      </c>
      <c r="K7">
        <v>1.0199524999999998</v>
      </c>
      <c r="L7">
        <v>0.7091862499999998</v>
      </c>
      <c r="M7">
        <v>0.31102749999999996</v>
      </c>
      <c r="N7" s="4">
        <v>0.20499999999999999</v>
      </c>
      <c r="O7" s="55">
        <f t="shared" si="0"/>
        <v>23.428571428571423</v>
      </c>
      <c r="P7" s="4">
        <v>1.2410000000000001</v>
      </c>
      <c r="Q7">
        <v>0.86870000000000003</v>
      </c>
    </row>
    <row r="8" spans="1:17">
      <c r="A8" t="s">
        <v>8</v>
      </c>
      <c r="B8" t="s">
        <v>69</v>
      </c>
      <c r="C8" s="1">
        <v>51.96</v>
      </c>
      <c r="D8" s="1">
        <v>57.09</v>
      </c>
      <c r="E8" s="1">
        <v>46.67</v>
      </c>
      <c r="F8" s="1">
        <v>1.82</v>
      </c>
      <c r="G8" s="1">
        <v>1.94</v>
      </c>
      <c r="H8" s="1">
        <v>1.77</v>
      </c>
      <c r="I8">
        <v>0.23200000000000001</v>
      </c>
      <c r="J8">
        <v>0.57499999999999996</v>
      </c>
      <c r="K8">
        <v>1.1622374999999998</v>
      </c>
      <c r="L8">
        <v>0.83480249999999978</v>
      </c>
      <c r="M8">
        <v>0.3277250000000001</v>
      </c>
      <c r="N8" s="4">
        <v>0.20200000000000001</v>
      </c>
      <c r="O8" s="55">
        <f t="shared" si="0"/>
        <v>23.085714285714285</v>
      </c>
      <c r="P8" s="4">
        <v>0.98099999999999998</v>
      </c>
      <c r="Q8">
        <v>0.68669999999999998</v>
      </c>
    </row>
    <row r="9" spans="1:17">
      <c r="A9" t="s">
        <v>9</v>
      </c>
      <c r="B9" t="s">
        <v>70</v>
      </c>
      <c r="C9" s="2">
        <v>52.67</v>
      </c>
      <c r="D9" s="2">
        <v>23.55</v>
      </c>
      <c r="E9" s="1">
        <v>44.33</v>
      </c>
      <c r="F9" s="1">
        <v>1.6</v>
      </c>
      <c r="G9" s="1">
        <v>1.59</v>
      </c>
      <c r="H9" s="1">
        <v>1.45</v>
      </c>
      <c r="I9">
        <v>0.20599999999999999</v>
      </c>
      <c r="J9">
        <v>0.56399999999999995</v>
      </c>
      <c r="K9">
        <v>1.0855600000000001</v>
      </c>
      <c r="L9">
        <v>0.82608249999999972</v>
      </c>
      <c r="M9">
        <v>0.25973499999999994</v>
      </c>
      <c r="N9" s="4">
        <v>0.219</v>
      </c>
      <c r="O9" s="55">
        <f t="shared" si="0"/>
        <v>25.028571428571425</v>
      </c>
      <c r="P9" s="4">
        <v>0.88700000000000001</v>
      </c>
      <c r="Q9">
        <v>0.62090000000000001</v>
      </c>
    </row>
    <row r="10" spans="1:17">
      <c r="A10" t="s">
        <v>10</v>
      </c>
      <c r="B10" t="s">
        <v>71</v>
      </c>
      <c r="C10" s="1">
        <v>37.619999999999997</v>
      </c>
      <c r="D10" s="1">
        <v>24.36</v>
      </c>
      <c r="E10" s="1">
        <v>52.71</v>
      </c>
      <c r="F10" s="1">
        <v>1.53</v>
      </c>
      <c r="G10" s="1">
        <v>1.6</v>
      </c>
      <c r="H10" s="1">
        <v>1.71</v>
      </c>
      <c r="I10">
        <v>0.19500000000000001</v>
      </c>
      <c r="J10">
        <v>0.505</v>
      </c>
      <c r="K10">
        <v>0.99863749999999996</v>
      </c>
      <c r="L10">
        <v>0.73611874999999993</v>
      </c>
      <c r="M10">
        <v>0.2627624999999999</v>
      </c>
      <c r="N10" s="4">
        <v>0.23300000000000001</v>
      </c>
      <c r="O10" s="55">
        <f t="shared" si="0"/>
        <v>26.628571428571426</v>
      </c>
      <c r="P10" s="4">
        <v>1.024</v>
      </c>
      <c r="Q10">
        <v>0.7168000000000001</v>
      </c>
    </row>
    <row r="11" spans="1:17">
      <c r="A11" t="s">
        <v>11</v>
      </c>
      <c r="B11" t="s">
        <v>72</v>
      </c>
      <c r="C11" s="1">
        <v>65.069999999999993</v>
      </c>
      <c r="D11" s="1">
        <v>23.08</v>
      </c>
      <c r="E11" s="1">
        <v>75.709999999999994</v>
      </c>
      <c r="F11" s="1">
        <v>1.55</v>
      </c>
      <c r="G11" s="1">
        <v>1.58</v>
      </c>
      <c r="H11" s="1">
        <v>1.72</v>
      </c>
      <c r="I11">
        <v>0.247</v>
      </c>
      <c r="J11">
        <v>0.63200000000000001</v>
      </c>
      <c r="K11">
        <v>1.2572549999999998</v>
      </c>
      <c r="L11">
        <v>0.92024624999999982</v>
      </c>
      <c r="M11">
        <v>0.33731749999999994</v>
      </c>
      <c r="N11" s="4">
        <v>0.29099999999999998</v>
      </c>
      <c r="O11" s="55">
        <f t="shared" si="0"/>
        <v>33.257142857142853</v>
      </c>
      <c r="P11" s="4">
        <v>0.90200000000000002</v>
      </c>
      <c r="Q11">
        <v>0.63139999999999996</v>
      </c>
    </row>
    <row r="12" spans="1:17">
      <c r="A12" t="s">
        <v>12</v>
      </c>
      <c r="B12" t="s">
        <v>73</v>
      </c>
      <c r="C12" s="1">
        <v>57.76</v>
      </c>
      <c r="D12" s="1">
        <v>16.93</v>
      </c>
      <c r="E12" s="1">
        <v>77.45</v>
      </c>
      <c r="F12" s="1">
        <v>1.35</v>
      </c>
      <c r="G12" s="1">
        <v>1.51</v>
      </c>
      <c r="H12" s="1">
        <v>1.53</v>
      </c>
      <c r="I12">
        <v>0.17599999999999999</v>
      </c>
      <c r="J12">
        <v>0.45200000000000001</v>
      </c>
      <c r="K12">
        <v>0.89752999999999994</v>
      </c>
      <c r="L12">
        <v>0.65837000000000001</v>
      </c>
      <c r="M12">
        <v>0.2393799999999999</v>
      </c>
      <c r="N12" s="4">
        <v>0.27500000000000002</v>
      </c>
      <c r="O12" s="55">
        <f t="shared" si="0"/>
        <v>31.428571428571427</v>
      </c>
      <c r="P12" s="4">
        <v>1.0209999999999999</v>
      </c>
      <c r="Q12">
        <v>0.7147</v>
      </c>
    </row>
    <row r="13" spans="1:17">
      <c r="A13" t="s">
        <v>13</v>
      </c>
      <c r="B13" t="s">
        <v>74</v>
      </c>
      <c r="C13" s="1">
        <v>56.66</v>
      </c>
      <c r="D13" s="1">
        <v>20.81</v>
      </c>
      <c r="E13" s="1">
        <v>66.239999999999995</v>
      </c>
      <c r="F13" s="1">
        <v>1.62</v>
      </c>
      <c r="G13" s="1">
        <v>1.63</v>
      </c>
      <c r="H13" s="1">
        <v>1.55</v>
      </c>
      <c r="I13">
        <v>0.14199999999999999</v>
      </c>
      <c r="J13">
        <v>0.38</v>
      </c>
      <c r="K13">
        <v>0.73949999999999994</v>
      </c>
      <c r="L13">
        <v>0.5555024999999999</v>
      </c>
      <c r="M13">
        <v>0.18417499999999992</v>
      </c>
      <c r="N13" s="4">
        <v>0.29299999999999998</v>
      </c>
      <c r="O13" s="55">
        <f t="shared" si="0"/>
        <v>33.48571428571428</v>
      </c>
      <c r="P13" s="4">
        <v>0.98</v>
      </c>
      <c r="Q13">
        <v>0.68599999999999994</v>
      </c>
    </row>
    <row r="14" spans="1:17">
      <c r="A14" t="s">
        <v>14</v>
      </c>
      <c r="B14" t="s">
        <v>75</v>
      </c>
      <c r="C14" s="1">
        <v>77.22</v>
      </c>
      <c r="D14" s="1">
        <v>28.72</v>
      </c>
      <c r="E14" s="1">
        <v>71.040000000000006</v>
      </c>
      <c r="F14" s="1">
        <v>1.82</v>
      </c>
      <c r="G14" s="1">
        <v>2.02</v>
      </c>
      <c r="H14" s="1">
        <v>1.61</v>
      </c>
      <c r="I14">
        <v>0.189</v>
      </c>
      <c r="J14">
        <v>0.44700000000000001</v>
      </c>
      <c r="K14">
        <v>0.92534249999999996</v>
      </c>
      <c r="L14">
        <v>0.64606124999999992</v>
      </c>
      <c r="M14">
        <v>0.27951750000000003</v>
      </c>
      <c r="N14" s="4">
        <v>0.22900000000000001</v>
      </c>
      <c r="O14" s="55">
        <f t="shared" si="0"/>
        <v>26.171428571428571</v>
      </c>
      <c r="P14" s="4">
        <v>0.94899999999999995</v>
      </c>
      <c r="Q14">
        <v>0.66429999999999989</v>
      </c>
    </row>
    <row r="15" spans="1:17">
      <c r="A15" t="s">
        <v>15</v>
      </c>
      <c r="B15" t="s">
        <v>76</v>
      </c>
      <c r="C15" s="1">
        <v>72</v>
      </c>
      <c r="D15" s="1">
        <v>27.73</v>
      </c>
      <c r="E15" s="1">
        <v>77.42</v>
      </c>
      <c r="F15" s="1">
        <v>1.64</v>
      </c>
      <c r="G15" s="1">
        <v>1.59</v>
      </c>
      <c r="H15" s="1">
        <v>1.57</v>
      </c>
      <c r="I15">
        <v>0.29499999999999998</v>
      </c>
      <c r="J15">
        <v>0.73</v>
      </c>
      <c r="K15">
        <v>1.4766999999999999</v>
      </c>
      <c r="L15">
        <v>1.0596812499999997</v>
      </c>
      <c r="M15">
        <v>0.41738749999999997</v>
      </c>
      <c r="N15" s="4">
        <v>0.192</v>
      </c>
      <c r="O15" s="55">
        <f t="shared" si="0"/>
        <v>21.94285714285714</v>
      </c>
      <c r="P15" s="4">
        <v>1.2270000000000001</v>
      </c>
      <c r="Q15">
        <v>0.8589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AG43"/>
  <sheetViews>
    <sheetView tabSelected="1" topLeftCell="A37" zoomScale="80" zoomScaleNormal="80" workbookViewId="0">
      <selection activeCell="X11" activeCellId="2" sqref="B11:E17 O11:Q17 X11:Z17"/>
    </sheetView>
  </sheetViews>
  <sheetFormatPr defaultRowHeight="15"/>
  <cols>
    <col min="1" max="1" width="8.140625" style="36" bestFit="1" customWidth="1"/>
    <col min="2" max="2" width="22.85546875" style="36" bestFit="1" customWidth="1"/>
    <col min="3" max="3" width="23.85546875" style="36" bestFit="1" customWidth="1"/>
    <col min="4" max="5" width="6.42578125" style="36" bestFit="1" customWidth="1"/>
    <col min="6" max="6" width="22" style="36" bestFit="1" customWidth="1"/>
    <col min="7" max="7" width="5.85546875" style="36" bestFit="1" customWidth="1"/>
    <col min="8" max="8" width="6.42578125" style="36" bestFit="1" customWidth="1"/>
    <col min="9" max="9" width="34.85546875" style="36" bestFit="1" customWidth="1"/>
    <col min="10" max="10" width="5.85546875" style="36" bestFit="1" customWidth="1"/>
    <col min="11" max="11" width="6.42578125" style="36" customWidth="1"/>
    <col min="12" max="12" width="33.42578125" style="36" bestFit="1" customWidth="1"/>
    <col min="13" max="14" width="6.85546875" style="36" bestFit="1" customWidth="1"/>
    <col min="15" max="15" width="35" style="148" bestFit="1" customWidth="1"/>
    <col min="16" max="17" width="6.42578125" style="148" bestFit="1" customWidth="1"/>
    <col min="18" max="18" width="32.85546875" style="36" bestFit="1" customWidth="1"/>
    <col min="19" max="20" width="6.42578125" style="36" bestFit="1" customWidth="1"/>
    <col min="21" max="21" width="31.140625" style="36" bestFit="1" customWidth="1"/>
    <col min="22" max="23" width="6.85546875" style="36" bestFit="1" customWidth="1"/>
    <col min="24" max="24" width="33" style="148" bestFit="1" customWidth="1"/>
    <col min="25" max="25" width="5.85546875" style="148" bestFit="1" customWidth="1"/>
    <col min="26" max="26" width="6.42578125" style="148" bestFit="1" customWidth="1"/>
    <col min="27" max="27" width="16.7109375" style="36" bestFit="1" customWidth="1"/>
    <col min="28" max="29" width="8.7109375" style="36" bestFit="1" customWidth="1"/>
    <col min="30" max="30" width="24.85546875" style="36" bestFit="1" customWidth="1"/>
    <col min="31" max="31" width="8.140625" style="36" bestFit="1" customWidth="1"/>
    <col min="32" max="32" width="8.140625" style="36" customWidth="1"/>
    <col min="33" max="16384" width="9.140625" style="36"/>
  </cols>
  <sheetData>
    <row r="1" spans="1:33">
      <c r="A1" s="166"/>
      <c r="B1" s="166"/>
      <c r="C1" s="177" t="s">
        <v>232</v>
      </c>
      <c r="D1" s="177"/>
      <c r="E1" s="177"/>
      <c r="F1" s="178" t="s">
        <v>447</v>
      </c>
      <c r="G1" s="179"/>
      <c r="H1" s="180"/>
      <c r="I1" s="178" t="s">
        <v>491</v>
      </c>
      <c r="J1" s="179"/>
      <c r="K1" s="180"/>
      <c r="L1" s="178" t="s">
        <v>469</v>
      </c>
      <c r="M1" s="179"/>
      <c r="N1" s="180"/>
      <c r="O1" s="178" t="s">
        <v>249</v>
      </c>
      <c r="P1" s="179"/>
      <c r="Q1" s="180"/>
      <c r="R1" s="178" t="s">
        <v>470</v>
      </c>
      <c r="S1" s="179"/>
      <c r="T1" s="180"/>
      <c r="U1" s="178" t="s">
        <v>471</v>
      </c>
      <c r="V1" s="179"/>
      <c r="W1" s="180"/>
      <c r="X1" s="178" t="s">
        <v>249</v>
      </c>
      <c r="Y1" s="179"/>
      <c r="Z1" s="180"/>
      <c r="AA1" s="178" t="s">
        <v>472</v>
      </c>
      <c r="AB1" s="179"/>
      <c r="AC1" s="180"/>
      <c r="AD1" s="178" t="s">
        <v>473</v>
      </c>
      <c r="AE1" s="179"/>
      <c r="AF1" s="180"/>
    </row>
    <row r="2" spans="1:33">
      <c r="A2" s="168" t="s">
        <v>216</v>
      </c>
      <c r="B2" s="168" t="s">
        <v>188</v>
      </c>
      <c r="C2" s="149" t="s">
        <v>180</v>
      </c>
      <c r="D2" s="162" t="s">
        <v>181</v>
      </c>
      <c r="E2" s="149" t="s">
        <v>182</v>
      </c>
      <c r="F2" s="149" t="s">
        <v>180</v>
      </c>
      <c r="G2" s="162" t="s">
        <v>181</v>
      </c>
      <c r="H2" s="149" t="s">
        <v>182</v>
      </c>
      <c r="I2" s="149" t="s">
        <v>180</v>
      </c>
      <c r="J2" s="162" t="s">
        <v>181</v>
      </c>
      <c r="K2" s="149" t="s">
        <v>182</v>
      </c>
      <c r="L2" s="149" t="s">
        <v>180</v>
      </c>
      <c r="M2" s="162" t="s">
        <v>181</v>
      </c>
      <c r="N2" s="149" t="s">
        <v>182</v>
      </c>
      <c r="O2" s="169" t="s">
        <v>180</v>
      </c>
      <c r="P2" s="162" t="s">
        <v>181</v>
      </c>
      <c r="Q2" s="169" t="s">
        <v>182</v>
      </c>
      <c r="R2" s="149" t="s">
        <v>180</v>
      </c>
      <c r="S2" s="162" t="s">
        <v>181</v>
      </c>
      <c r="T2" s="149" t="s">
        <v>182</v>
      </c>
      <c r="U2" s="149" t="s">
        <v>180</v>
      </c>
      <c r="V2" s="162" t="s">
        <v>181</v>
      </c>
      <c r="W2" s="149" t="s">
        <v>182</v>
      </c>
      <c r="X2" s="169" t="s">
        <v>180</v>
      </c>
      <c r="Y2" s="162" t="s">
        <v>181</v>
      </c>
      <c r="Z2" s="169" t="s">
        <v>182</v>
      </c>
      <c r="AA2" s="149" t="s">
        <v>180</v>
      </c>
      <c r="AB2" s="162" t="s">
        <v>181</v>
      </c>
      <c r="AC2" s="149" t="s">
        <v>182</v>
      </c>
      <c r="AD2" s="149" t="s">
        <v>180</v>
      </c>
      <c r="AE2" s="162" t="s">
        <v>181</v>
      </c>
      <c r="AF2" s="149" t="s">
        <v>182</v>
      </c>
      <c r="AG2" s="148"/>
    </row>
    <row r="3" spans="1:33">
      <c r="A3" s="168">
        <v>1</v>
      </c>
      <c r="B3" s="167" t="s">
        <v>41</v>
      </c>
      <c r="C3" s="142">
        <v>10.050000000000001</v>
      </c>
      <c r="D3" s="142">
        <v>9.6679999999999993</v>
      </c>
      <c r="E3" s="142">
        <v>9.0499999999999989</v>
      </c>
      <c r="F3" s="140">
        <v>2.7405599999999994</v>
      </c>
      <c r="G3" s="140">
        <v>2.67</v>
      </c>
      <c r="H3" s="140">
        <v>3.0703599999999995</v>
      </c>
      <c r="I3" s="142">
        <v>4.68</v>
      </c>
      <c r="J3" s="142">
        <v>5.68</v>
      </c>
      <c r="K3" s="142">
        <v>6.15</v>
      </c>
      <c r="L3" s="142">
        <v>67.27</v>
      </c>
      <c r="M3" s="142">
        <v>70.430000000000007</v>
      </c>
      <c r="N3" s="142">
        <v>72.069999999999993</v>
      </c>
      <c r="O3" s="142">
        <v>14.373931623931623</v>
      </c>
      <c r="P3" s="142">
        <v>12.399647887323946</v>
      </c>
      <c r="Q3" s="142">
        <v>11.718699186991868</v>
      </c>
      <c r="R3" s="142">
        <v>6.69</v>
      </c>
      <c r="S3" s="142">
        <v>6.01</v>
      </c>
      <c r="T3" s="142">
        <v>6.53</v>
      </c>
      <c r="U3" s="142">
        <v>43.75</v>
      </c>
      <c r="V3" s="142">
        <v>35.159999999999997</v>
      </c>
      <c r="W3" s="142">
        <v>54.67</v>
      </c>
      <c r="X3" s="142">
        <v>6.5396113602391628</v>
      </c>
      <c r="Y3" s="142">
        <v>5.8502495840266215</v>
      </c>
      <c r="Z3" s="142">
        <v>8.3721286370597241</v>
      </c>
      <c r="AA3" s="142">
        <v>16.606000000000002</v>
      </c>
      <c r="AB3" s="142">
        <v>19.317</v>
      </c>
      <c r="AC3" s="142">
        <v>13.144</v>
      </c>
      <c r="AD3" s="142">
        <v>213.01399999999998</v>
      </c>
      <c r="AE3" s="142">
        <v>137.68</v>
      </c>
      <c r="AF3" s="142">
        <v>323.63</v>
      </c>
      <c r="AG3" s="2"/>
    </row>
    <row r="4" spans="1:33">
      <c r="A4" s="168">
        <v>2</v>
      </c>
      <c r="B4" s="167" t="s">
        <v>218</v>
      </c>
      <c r="C4" s="142">
        <v>10</v>
      </c>
      <c r="D4" s="142">
        <v>10.182</v>
      </c>
      <c r="E4" s="142">
        <v>9.1319999999999997</v>
      </c>
      <c r="F4" s="140">
        <v>2.4420275</v>
      </c>
      <c r="G4" s="140">
        <v>2.4287725</v>
      </c>
      <c r="H4" s="140">
        <v>2.1216650000000001</v>
      </c>
      <c r="I4" s="142">
        <v>4.4800000000000004</v>
      </c>
      <c r="J4" s="142">
        <v>6.96</v>
      </c>
      <c r="K4" s="142">
        <v>4.57</v>
      </c>
      <c r="L4" s="142">
        <v>62.73</v>
      </c>
      <c r="M4" s="142">
        <v>44.72</v>
      </c>
      <c r="N4" s="142">
        <v>37.53</v>
      </c>
      <c r="O4" s="142">
        <v>14.002232142857141</v>
      </c>
      <c r="P4" s="142">
        <v>6.4252873563218387</v>
      </c>
      <c r="Q4" s="142">
        <v>8.2122538293216625</v>
      </c>
      <c r="R4" s="142">
        <v>7.25</v>
      </c>
      <c r="S4" s="142">
        <v>6.73</v>
      </c>
      <c r="T4" s="142">
        <v>8.8000000000000007</v>
      </c>
      <c r="U4" s="142">
        <v>62.02</v>
      </c>
      <c r="V4" s="142">
        <v>41.57</v>
      </c>
      <c r="W4" s="142">
        <v>48.42</v>
      </c>
      <c r="X4" s="142">
        <v>8.55448275862069</v>
      </c>
      <c r="Y4" s="142">
        <v>6.1768202080237735</v>
      </c>
      <c r="Z4" s="142">
        <v>5.502272727272727</v>
      </c>
      <c r="AA4" s="142">
        <v>15.72</v>
      </c>
      <c r="AB4" s="142">
        <v>14.652000000000001</v>
      </c>
      <c r="AC4" s="142">
        <v>12.722</v>
      </c>
      <c r="AD4" s="142">
        <v>348.44</v>
      </c>
      <c r="AE4" s="142">
        <v>267.75</v>
      </c>
      <c r="AF4" s="142">
        <v>189.97</v>
      </c>
      <c r="AG4" s="2"/>
    </row>
    <row r="5" spans="1:33">
      <c r="A5" s="168">
        <v>3</v>
      </c>
      <c r="B5" s="167" t="s">
        <v>219</v>
      </c>
      <c r="C5" s="142">
        <v>12.274000000000001</v>
      </c>
      <c r="D5" s="142">
        <v>15.288</v>
      </c>
      <c r="E5" s="142">
        <v>13.803999999999998</v>
      </c>
      <c r="F5" s="140">
        <v>2.1782124999999999</v>
      </c>
      <c r="G5" s="140">
        <v>2.5643625000000001</v>
      </c>
      <c r="H5" s="140">
        <v>2.6730825</v>
      </c>
      <c r="I5" s="142">
        <v>3.62</v>
      </c>
      <c r="J5" s="142">
        <v>3.37</v>
      </c>
      <c r="K5" s="142">
        <v>4.8499999999999996</v>
      </c>
      <c r="L5" s="142">
        <v>69.67</v>
      </c>
      <c r="M5" s="142">
        <v>40.119999999999997</v>
      </c>
      <c r="N5" s="142">
        <v>57.59</v>
      </c>
      <c r="O5" s="142">
        <v>19.245856353591162</v>
      </c>
      <c r="P5" s="142">
        <v>11.905044510385755</v>
      </c>
      <c r="Q5" s="142">
        <v>11.874226804123714</v>
      </c>
      <c r="R5" s="142">
        <v>6.11</v>
      </c>
      <c r="S5" s="142">
        <v>13.15</v>
      </c>
      <c r="T5" s="142">
        <v>10.25</v>
      </c>
      <c r="U5" s="142">
        <v>53.2</v>
      </c>
      <c r="V5" s="142">
        <v>41.16</v>
      </c>
      <c r="W5" s="142">
        <v>43.45</v>
      </c>
      <c r="X5" s="142">
        <v>8.7070376432078564</v>
      </c>
      <c r="Y5" s="142">
        <v>3.1300380228136877</v>
      </c>
      <c r="Z5" s="142">
        <v>4.2390243902439027</v>
      </c>
      <c r="AA5" s="142">
        <v>19.245000000000001</v>
      </c>
      <c r="AB5" s="142">
        <v>19.033000000000001</v>
      </c>
      <c r="AC5" s="142">
        <v>19.093</v>
      </c>
      <c r="AD5" s="142">
        <v>254.38</v>
      </c>
      <c r="AE5" s="142">
        <v>234.35</v>
      </c>
      <c r="AF5" s="142">
        <v>271.98</v>
      </c>
      <c r="AG5" s="2"/>
    </row>
    <row r="6" spans="1:33">
      <c r="A6" s="168">
        <v>4</v>
      </c>
      <c r="B6" s="167" t="s">
        <v>220</v>
      </c>
      <c r="C6" s="142">
        <v>10.378</v>
      </c>
      <c r="D6" s="142">
        <v>9.8520000000000003</v>
      </c>
      <c r="E6" s="142">
        <v>9.6260000000000012</v>
      </c>
      <c r="F6" s="140">
        <v>1.9824950000000001</v>
      </c>
      <c r="G6" s="140">
        <v>2.0045500000000001</v>
      </c>
      <c r="H6" s="140">
        <v>2.3893650000000002</v>
      </c>
      <c r="I6" s="142">
        <v>3.63</v>
      </c>
      <c r="J6" s="142">
        <v>4.5</v>
      </c>
      <c r="K6" s="142">
        <v>4.3899999999999997</v>
      </c>
      <c r="L6" s="142">
        <v>57.58</v>
      </c>
      <c r="M6" s="142">
        <v>53.93</v>
      </c>
      <c r="N6" s="142">
        <v>57.42</v>
      </c>
      <c r="O6" s="142">
        <v>15.862258953168045</v>
      </c>
      <c r="P6" s="142">
        <v>11.984444444444444</v>
      </c>
      <c r="Q6" s="142">
        <v>13.079726651480639</v>
      </c>
      <c r="R6" s="142">
        <v>12.97</v>
      </c>
      <c r="S6" s="142">
        <v>7.65</v>
      </c>
      <c r="T6" s="142">
        <v>6.32</v>
      </c>
      <c r="U6" s="142">
        <v>48.89</v>
      </c>
      <c r="V6" s="142">
        <v>60.03</v>
      </c>
      <c r="W6" s="142">
        <v>48.39</v>
      </c>
      <c r="X6" s="142">
        <v>3.76946800308404</v>
      </c>
      <c r="Y6" s="142">
        <v>7.8470588235294114</v>
      </c>
      <c r="Z6" s="142">
        <v>7.6566455696202533</v>
      </c>
      <c r="AA6" s="142">
        <v>19.304000000000002</v>
      </c>
      <c r="AB6" s="142">
        <v>19.481999999999999</v>
      </c>
      <c r="AC6" s="142">
        <v>19.563000000000002</v>
      </c>
      <c r="AD6" s="142">
        <v>183.04999999999998</v>
      </c>
      <c r="AE6" s="142">
        <v>237.63</v>
      </c>
      <c r="AF6" s="142">
        <v>214.9</v>
      </c>
      <c r="AG6" s="2"/>
    </row>
    <row r="7" spans="1:33">
      <c r="A7" s="168">
        <v>5</v>
      </c>
      <c r="B7" s="167" t="s">
        <v>45</v>
      </c>
      <c r="C7" s="142">
        <v>9.3979999999999997</v>
      </c>
      <c r="D7" s="142">
        <v>10.1</v>
      </c>
      <c r="E7" s="142">
        <v>9.7879999999999985</v>
      </c>
      <c r="F7" s="140">
        <v>1.3435925</v>
      </c>
      <c r="G7" s="140">
        <v>1.1312299999999997</v>
      </c>
      <c r="H7" s="140">
        <v>1.6123374999999998</v>
      </c>
      <c r="I7" s="142">
        <v>5.61</v>
      </c>
      <c r="J7" s="142">
        <v>3.38</v>
      </c>
      <c r="K7" s="142">
        <v>4.32</v>
      </c>
      <c r="L7" s="142">
        <v>59.56</v>
      </c>
      <c r="M7" s="142">
        <v>60.1</v>
      </c>
      <c r="N7" s="142">
        <v>45.28</v>
      </c>
      <c r="O7" s="142">
        <v>10.616755793226382</v>
      </c>
      <c r="P7" s="142">
        <v>17.781065088757398</v>
      </c>
      <c r="Q7" s="142">
        <v>10.481481481481481</v>
      </c>
      <c r="R7" s="142">
        <v>10.85</v>
      </c>
      <c r="S7" s="142">
        <v>6.79</v>
      </c>
      <c r="T7" s="142">
        <v>6.1</v>
      </c>
      <c r="U7" s="142">
        <v>56.74</v>
      </c>
      <c r="V7" s="142">
        <v>38.49</v>
      </c>
      <c r="W7" s="142">
        <v>53.24</v>
      </c>
      <c r="X7" s="142">
        <v>5.2294930875576044</v>
      </c>
      <c r="Y7" s="142">
        <v>5.6686303387334318</v>
      </c>
      <c r="Z7" s="142">
        <v>8.727868852459018</v>
      </c>
      <c r="AA7" s="142">
        <v>14.31</v>
      </c>
      <c r="AB7" s="142">
        <v>14.766999999999999</v>
      </c>
      <c r="AC7" s="142">
        <v>13.98</v>
      </c>
      <c r="AD7" s="142">
        <v>309.92</v>
      </c>
      <c r="AE7" s="142">
        <v>269.45</v>
      </c>
      <c r="AF7" s="142">
        <v>193.75</v>
      </c>
      <c r="AG7" s="2"/>
    </row>
    <row r="8" spans="1:33">
      <c r="A8" s="168">
        <v>6</v>
      </c>
      <c r="B8" s="167" t="s">
        <v>46</v>
      </c>
      <c r="C8" s="142">
        <v>9.3239999999999998</v>
      </c>
      <c r="D8" s="142">
        <v>9.1760000000000002</v>
      </c>
      <c r="E8" s="142">
        <v>12.07</v>
      </c>
      <c r="F8" s="140">
        <v>2.3516874999999993</v>
      </c>
      <c r="G8" s="140">
        <v>3.1462174999999997</v>
      </c>
      <c r="H8" s="140">
        <v>2.7455625000000001</v>
      </c>
      <c r="I8" s="142">
        <v>4.91</v>
      </c>
      <c r="J8" s="142">
        <v>4.63</v>
      </c>
      <c r="K8" s="142">
        <v>4.03</v>
      </c>
      <c r="L8" s="142">
        <v>48.51</v>
      </c>
      <c r="M8" s="142">
        <v>40.020000000000003</v>
      </c>
      <c r="N8" s="142">
        <v>31.97</v>
      </c>
      <c r="O8" s="142">
        <v>9.8798370672097757</v>
      </c>
      <c r="P8" s="142">
        <v>8.6436285097192229</v>
      </c>
      <c r="Q8" s="142">
        <v>7.9330024813895772</v>
      </c>
      <c r="R8" s="142">
        <v>8.8699999999999992</v>
      </c>
      <c r="S8" s="142">
        <v>15.95</v>
      </c>
      <c r="T8" s="142">
        <v>7.95</v>
      </c>
      <c r="U8" s="142">
        <v>56.87</v>
      </c>
      <c r="V8" s="142">
        <v>35.520000000000003</v>
      </c>
      <c r="W8" s="142">
        <v>42.4</v>
      </c>
      <c r="X8" s="142">
        <v>6.411499436302142</v>
      </c>
      <c r="Y8" s="142">
        <v>2.2269592476489031</v>
      </c>
      <c r="Z8" s="142">
        <v>5.333333333333333</v>
      </c>
      <c r="AA8" s="142">
        <v>14.555999999999999</v>
      </c>
      <c r="AB8" s="142">
        <v>13.548</v>
      </c>
      <c r="AC8" s="142">
        <v>17.752000000000002</v>
      </c>
      <c r="AD8" s="142">
        <v>224.04</v>
      </c>
      <c r="AE8" s="142">
        <v>301.39</v>
      </c>
      <c r="AF8" s="142">
        <v>232.52</v>
      </c>
      <c r="AG8" s="2"/>
    </row>
    <row r="9" spans="1:33">
      <c r="A9" s="168">
        <v>7</v>
      </c>
      <c r="B9" s="167" t="s">
        <v>189</v>
      </c>
      <c r="C9" s="142">
        <v>12.472</v>
      </c>
      <c r="D9" s="142">
        <v>10.996</v>
      </c>
      <c r="E9" s="142">
        <v>13.812000000000001</v>
      </c>
      <c r="F9" s="140">
        <v>2.38544</v>
      </c>
      <c r="G9" s="140">
        <v>2.5051125000000001</v>
      </c>
      <c r="H9" s="140">
        <v>2.4272024999999999</v>
      </c>
      <c r="I9" s="142">
        <v>6.56</v>
      </c>
      <c r="J9" s="142">
        <v>4.17</v>
      </c>
      <c r="K9" s="142">
        <v>4.3</v>
      </c>
      <c r="L9" s="142">
        <v>59.25</v>
      </c>
      <c r="M9" s="142">
        <v>69.03</v>
      </c>
      <c r="N9" s="142">
        <v>44.83</v>
      </c>
      <c r="O9" s="142">
        <v>9.0320121951219523</v>
      </c>
      <c r="P9" s="142">
        <v>16.553956834532375</v>
      </c>
      <c r="Q9" s="142">
        <v>10.425581395348837</v>
      </c>
      <c r="R9" s="142">
        <v>7.69</v>
      </c>
      <c r="S9" s="142">
        <v>8.24</v>
      </c>
      <c r="T9" s="142">
        <v>9.35</v>
      </c>
      <c r="U9" s="142">
        <v>96.31</v>
      </c>
      <c r="V9" s="142">
        <v>41.86</v>
      </c>
      <c r="W9" s="142">
        <v>47.25</v>
      </c>
      <c r="X9" s="142">
        <v>12.524057217165149</v>
      </c>
      <c r="Y9" s="142">
        <v>5.0800970873786406</v>
      </c>
      <c r="Z9" s="142">
        <v>5.0534759358288772</v>
      </c>
      <c r="AA9" s="142">
        <v>12.385</v>
      </c>
      <c r="AB9" s="142">
        <v>9.0220000000000002</v>
      </c>
      <c r="AC9" s="142">
        <v>14.2</v>
      </c>
      <c r="AD9" s="142">
        <v>123.23</v>
      </c>
      <c r="AE9" s="142">
        <v>301.19</v>
      </c>
      <c r="AF9" s="142">
        <v>200.93</v>
      </c>
      <c r="AG9" s="2"/>
    </row>
    <row r="10" spans="1:33">
      <c r="A10" s="168"/>
      <c r="B10" s="168" t="s">
        <v>446</v>
      </c>
      <c r="C10" s="163"/>
      <c r="D10" s="163"/>
      <c r="E10" s="163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</row>
    <row r="11" spans="1:33">
      <c r="A11" s="168">
        <v>1</v>
      </c>
      <c r="B11" s="167" t="s">
        <v>29</v>
      </c>
      <c r="C11" s="165">
        <v>7.64</v>
      </c>
      <c r="D11" s="165">
        <v>8.9600000000000009</v>
      </c>
      <c r="E11" s="165">
        <v>8.6</v>
      </c>
      <c r="F11" s="140">
        <v>0.90351249999999994</v>
      </c>
      <c r="G11" s="140">
        <v>1.3836224999999998</v>
      </c>
      <c r="H11" s="140">
        <v>1.2564824999999997</v>
      </c>
      <c r="I11" s="142">
        <v>5.03</v>
      </c>
      <c r="J11" s="142">
        <v>8.0399999999999991</v>
      </c>
      <c r="K11" s="142">
        <v>5.18</v>
      </c>
      <c r="L11" s="142">
        <v>62.09</v>
      </c>
      <c r="M11" s="142">
        <v>58.86</v>
      </c>
      <c r="N11" s="142">
        <v>61.7</v>
      </c>
      <c r="O11" s="142">
        <v>12.343936381709742</v>
      </c>
      <c r="P11" s="142">
        <v>7.3208955223880601</v>
      </c>
      <c r="Q11" s="142">
        <v>11.911196911196912</v>
      </c>
      <c r="R11" s="142">
        <v>7.8</v>
      </c>
      <c r="S11" s="142">
        <v>7.32</v>
      </c>
      <c r="T11" s="142">
        <v>4.9400000000000004</v>
      </c>
      <c r="U11" s="142">
        <v>43.11</v>
      </c>
      <c r="V11" s="142">
        <v>40.28</v>
      </c>
      <c r="W11" s="142">
        <v>32.020000000000003</v>
      </c>
      <c r="X11" s="142">
        <v>5.5269230769230768</v>
      </c>
      <c r="Y11" s="142">
        <v>5.5027322404371581</v>
      </c>
      <c r="Z11" s="142">
        <v>6.4817813765182191</v>
      </c>
      <c r="AA11" s="165">
        <v>13.268000000000001</v>
      </c>
      <c r="AB11" s="165">
        <v>7.6579999999999995</v>
      </c>
      <c r="AC11" s="165">
        <v>10.559999999999999</v>
      </c>
      <c r="AD11" s="142">
        <v>235.51000000000002</v>
      </c>
      <c r="AE11" s="142">
        <v>226.73000000000002</v>
      </c>
      <c r="AF11" s="142">
        <v>388.76</v>
      </c>
    </row>
    <row r="12" spans="1:33">
      <c r="A12" s="168">
        <v>2</v>
      </c>
      <c r="B12" s="167" t="s">
        <v>30</v>
      </c>
      <c r="C12" s="165">
        <v>7.06</v>
      </c>
      <c r="D12" s="165">
        <v>9.09</v>
      </c>
      <c r="E12" s="165">
        <v>7.26</v>
      </c>
      <c r="F12" s="140">
        <v>1.6849399999999999</v>
      </c>
      <c r="G12" s="140">
        <v>0.78061249999999982</v>
      </c>
      <c r="H12" s="140">
        <v>0.99007000000000012</v>
      </c>
      <c r="I12" s="142">
        <v>5.08</v>
      </c>
      <c r="J12" s="142">
        <v>3.53</v>
      </c>
      <c r="K12" s="142">
        <v>4.5999999999999996</v>
      </c>
      <c r="L12" s="142">
        <v>62.75</v>
      </c>
      <c r="M12" s="142">
        <v>53.12</v>
      </c>
      <c r="N12" s="142">
        <v>66.989999999999995</v>
      </c>
      <c r="O12" s="142">
        <v>12.352362204724409</v>
      </c>
      <c r="P12" s="142">
        <v>15.04815864022663</v>
      </c>
      <c r="Q12" s="142">
        <v>14.56304347826087</v>
      </c>
      <c r="R12" s="142">
        <v>8.51</v>
      </c>
      <c r="S12" s="142">
        <v>7.54</v>
      </c>
      <c r="T12" s="142">
        <v>5.31</v>
      </c>
      <c r="U12" s="142">
        <v>39.75</v>
      </c>
      <c r="V12" s="142">
        <v>39.06</v>
      </c>
      <c r="W12" s="142">
        <v>31.03</v>
      </c>
      <c r="X12" s="142">
        <v>4.6709753231492366</v>
      </c>
      <c r="Y12" s="142">
        <v>5.180371352785146</v>
      </c>
      <c r="Z12" s="142">
        <v>5.8436911487758953</v>
      </c>
      <c r="AA12" s="165">
        <v>19.393999999999998</v>
      </c>
      <c r="AB12" s="165">
        <v>13.462</v>
      </c>
      <c r="AC12" s="165">
        <v>9.7889999999999997</v>
      </c>
      <c r="AD12" s="142">
        <v>383.21000000000004</v>
      </c>
      <c r="AE12" s="142">
        <v>284.34000000000003</v>
      </c>
      <c r="AF12" s="142">
        <v>319.46999999999997</v>
      </c>
    </row>
    <row r="13" spans="1:33">
      <c r="A13" s="168">
        <v>3</v>
      </c>
      <c r="B13" s="167" t="s">
        <v>31</v>
      </c>
      <c r="C13" s="165">
        <v>8.8000000000000007</v>
      </c>
      <c r="D13" s="165">
        <v>8.33</v>
      </c>
      <c r="E13" s="165">
        <v>7.03</v>
      </c>
      <c r="F13" s="140">
        <v>1.7169824999999996</v>
      </c>
      <c r="G13" s="140">
        <v>1.1320549999999998</v>
      </c>
      <c r="H13" s="140">
        <v>1.2886424999999997</v>
      </c>
      <c r="I13" s="142">
        <v>2.75</v>
      </c>
      <c r="J13" s="142">
        <v>6.65</v>
      </c>
      <c r="K13" s="142">
        <v>4.99</v>
      </c>
      <c r="L13" s="142">
        <v>59.49</v>
      </c>
      <c r="M13" s="142">
        <v>56.97</v>
      </c>
      <c r="N13" s="142">
        <v>56.53</v>
      </c>
      <c r="O13" s="142">
        <v>21.632727272727273</v>
      </c>
      <c r="P13" s="142">
        <v>8.5669172932330824</v>
      </c>
      <c r="Q13" s="142">
        <v>11.328657314629258</v>
      </c>
      <c r="R13" s="142">
        <v>8.6300000000000008</v>
      </c>
      <c r="S13" s="142">
        <v>6.94</v>
      </c>
      <c r="T13" s="142">
        <v>5.93</v>
      </c>
      <c r="U13" s="142">
        <v>39.17</v>
      </c>
      <c r="V13" s="142">
        <v>40.49</v>
      </c>
      <c r="W13" s="142">
        <v>38.58</v>
      </c>
      <c r="X13" s="142">
        <v>4.538818076477404</v>
      </c>
      <c r="Y13" s="142">
        <v>5.8342939481268008</v>
      </c>
      <c r="Z13" s="142">
        <v>6.5059021922428331</v>
      </c>
      <c r="AA13" s="165">
        <v>10.172000000000001</v>
      </c>
      <c r="AB13" s="165">
        <v>7.9630000000000001</v>
      </c>
      <c r="AC13" s="165">
        <v>13.474</v>
      </c>
      <c r="AD13" s="142">
        <v>324.73</v>
      </c>
      <c r="AE13" s="142">
        <v>245.29999999999998</v>
      </c>
      <c r="AF13" s="142">
        <v>402.53999999999996</v>
      </c>
    </row>
    <row r="14" spans="1:33">
      <c r="A14" s="168">
        <v>4</v>
      </c>
      <c r="B14" s="167" t="s">
        <v>32</v>
      </c>
      <c r="C14" s="165">
        <v>7.93</v>
      </c>
      <c r="D14" s="165">
        <v>7.73</v>
      </c>
      <c r="E14" s="165">
        <v>8.8800000000000008</v>
      </c>
      <c r="F14" s="140">
        <v>1.3425524999999998</v>
      </c>
      <c r="G14" s="140">
        <v>1.3841749999999999</v>
      </c>
      <c r="H14" s="140">
        <v>1.1947350000000001</v>
      </c>
      <c r="I14" s="142">
        <v>7.25</v>
      </c>
      <c r="J14" s="142">
        <v>6.26</v>
      </c>
      <c r="K14" s="142">
        <v>5.61</v>
      </c>
      <c r="L14" s="142">
        <v>31.1</v>
      </c>
      <c r="M14" s="142">
        <v>59.77</v>
      </c>
      <c r="N14" s="142">
        <v>58.08</v>
      </c>
      <c r="O14" s="142">
        <v>4.2896551724137932</v>
      </c>
      <c r="P14" s="142">
        <v>9.5479233226837064</v>
      </c>
      <c r="Q14" s="142">
        <v>10.352941176470587</v>
      </c>
      <c r="R14" s="142">
        <v>8.83</v>
      </c>
      <c r="S14" s="142">
        <v>6.49</v>
      </c>
      <c r="T14" s="142">
        <v>7.32</v>
      </c>
      <c r="U14" s="142">
        <v>34.99</v>
      </c>
      <c r="V14" s="142">
        <v>36.36</v>
      </c>
      <c r="W14" s="142">
        <v>41.3</v>
      </c>
      <c r="X14" s="142">
        <v>3.9626274065685165</v>
      </c>
      <c r="Y14" s="142">
        <v>5.6024653312788901</v>
      </c>
      <c r="Z14" s="142">
        <v>5.6420765027322402</v>
      </c>
      <c r="AA14" s="165">
        <v>13.068</v>
      </c>
      <c r="AB14" s="165">
        <v>13.038</v>
      </c>
      <c r="AC14" s="165">
        <v>12.773</v>
      </c>
      <c r="AD14" s="142">
        <v>231.48000000000002</v>
      </c>
      <c r="AE14" s="142">
        <v>262.24</v>
      </c>
      <c r="AF14" s="142">
        <v>234.19</v>
      </c>
    </row>
    <row r="15" spans="1:33">
      <c r="A15" s="168">
        <v>5</v>
      </c>
      <c r="B15" s="167" t="s">
        <v>33</v>
      </c>
      <c r="C15" s="165">
        <v>9.0299999999999994</v>
      </c>
      <c r="D15" s="165">
        <v>7.49</v>
      </c>
      <c r="E15" s="165">
        <v>9.92</v>
      </c>
      <c r="F15" s="140">
        <v>1.2481674999999999</v>
      </c>
      <c r="G15" s="140">
        <v>1.10703</v>
      </c>
      <c r="H15" s="140">
        <v>1.1321675</v>
      </c>
      <c r="I15" s="142">
        <v>6.09</v>
      </c>
      <c r="J15" s="142">
        <v>6.19</v>
      </c>
      <c r="K15" s="142">
        <v>4.75</v>
      </c>
      <c r="L15" s="142">
        <v>40.1</v>
      </c>
      <c r="M15" s="142">
        <v>56.4</v>
      </c>
      <c r="N15" s="142">
        <v>48.21</v>
      </c>
      <c r="O15" s="142">
        <v>6.58456486042693</v>
      </c>
      <c r="P15" s="142">
        <v>9.1114701130856215</v>
      </c>
      <c r="Q15" s="142">
        <v>10.149473684210527</v>
      </c>
      <c r="R15" s="142">
        <v>9.39</v>
      </c>
      <c r="S15" s="142">
        <v>7.46</v>
      </c>
      <c r="T15" s="142">
        <v>12.12</v>
      </c>
      <c r="U15" s="142">
        <v>48.89</v>
      </c>
      <c r="V15" s="142">
        <v>50.78</v>
      </c>
      <c r="W15" s="142">
        <v>45.5</v>
      </c>
      <c r="X15" s="142">
        <v>5.206602768903088</v>
      </c>
      <c r="Y15" s="142">
        <v>6.8069705093833779</v>
      </c>
      <c r="Z15" s="142">
        <v>3.7541254125412542</v>
      </c>
      <c r="AA15" s="165">
        <v>12.548</v>
      </c>
      <c r="AB15" s="165">
        <v>13.866</v>
      </c>
      <c r="AC15" s="165">
        <v>6.7219999999999995</v>
      </c>
      <c r="AD15" s="142">
        <v>268.69</v>
      </c>
      <c r="AE15" s="142">
        <v>376.52</v>
      </c>
      <c r="AF15" s="142">
        <v>241.86</v>
      </c>
    </row>
    <row r="16" spans="1:33">
      <c r="A16" s="168">
        <v>6</v>
      </c>
      <c r="B16" s="167" t="s">
        <v>34</v>
      </c>
      <c r="C16" s="165">
        <v>7.48</v>
      </c>
      <c r="D16" s="165">
        <v>8.27</v>
      </c>
      <c r="E16" s="165">
        <v>9.57</v>
      </c>
      <c r="F16" s="140">
        <v>1.3848075</v>
      </c>
      <c r="G16" s="140">
        <v>1.2777599999999996</v>
      </c>
      <c r="H16" s="140">
        <v>1.1275249999999997</v>
      </c>
      <c r="I16" s="142">
        <v>3.54</v>
      </c>
      <c r="J16" s="142">
        <v>6.3</v>
      </c>
      <c r="K16" s="142">
        <v>4.62</v>
      </c>
      <c r="L16" s="142">
        <v>52.65</v>
      </c>
      <c r="M16" s="142">
        <v>35.57</v>
      </c>
      <c r="N16" s="142">
        <v>53.1</v>
      </c>
      <c r="O16" s="142">
        <v>14.872881355932202</v>
      </c>
      <c r="P16" s="142">
        <v>5.6460317460317464</v>
      </c>
      <c r="Q16" s="142">
        <v>11.493506493506494</v>
      </c>
      <c r="R16" s="142">
        <v>11.4</v>
      </c>
      <c r="S16" s="142">
        <v>7.33</v>
      </c>
      <c r="T16" s="142">
        <v>7.33</v>
      </c>
      <c r="U16" s="142">
        <v>68.400000000000006</v>
      </c>
      <c r="V16" s="142">
        <v>43.31</v>
      </c>
      <c r="W16" s="142">
        <v>41.22</v>
      </c>
      <c r="X16" s="142">
        <v>6</v>
      </c>
      <c r="Y16" s="142">
        <v>5.9085948158253752</v>
      </c>
      <c r="Z16" s="142">
        <v>5.6234652114597541</v>
      </c>
      <c r="AA16" s="165">
        <v>5.3309999999999995</v>
      </c>
      <c r="AB16" s="165">
        <v>18.850000000000001</v>
      </c>
      <c r="AC16" s="165">
        <v>10.193999999999999</v>
      </c>
      <c r="AD16" s="142">
        <v>295.52</v>
      </c>
      <c r="AE16" s="142">
        <v>302.78999999999996</v>
      </c>
      <c r="AF16" s="142">
        <v>261.35000000000002</v>
      </c>
    </row>
    <row r="17" spans="1:32">
      <c r="A17" s="168">
        <v>7</v>
      </c>
      <c r="B17" s="167" t="s">
        <v>35</v>
      </c>
      <c r="C17" s="165">
        <v>7.17</v>
      </c>
      <c r="D17" s="165">
        <v>7.06</v>
      </c>
      <c r="E17" s="165">
        <v>7.52</v>
      </c>
      <c r="F17" s="140">
        <v>1.6938874999999998</v>
      </c>
      <c r="G17" s="140">
        <v>1.44418</v>
      </c>
      <c r="H17" s="140">
        <v>1.1927624999999997</v>
      </c>
      <c r="I17" s="142">
        <v>3.03</v>
      </c>
      <c r="J17" s="142">
        <v>5.49</v>
      </c>
      <c r="K17" s="142">
        <v>5.01</v>
      </c>
      <c r="L17" s="142">
        <v>30.7</v>
      </c>
      <c r="M17" s="142">
        <v>65.88</v>
      </c>
      <c r="N17" s="142">
        <v>42.54</v>
      </c>
      <c r="O17" s="142">
        <v>10.132013201320133</v>
      </c>
      <c r="P17" s="142">
        <v>11.999999999999998</v>
      </c>
      <c r="Q17" s="142">
        <v>8.4910179640718564</v>
      </c>
      <c r="R17" s="142">
        <v>11.28</v>
      </c>
      <c r="S17" s="142">
        <v>7.53</v>
      </c>
      <c r="T17" s="142">
        <v>7.32</v>
      </c>
      <c r="U17" s="142">
        <v>44.81</v>
      </c>
      <c r="V17" s="142">
        <v>43.11</v>
      </c>
      <c r="W17" s="142">
        <v>45.53</v>
      </c>
      <c r="X17" s="142">
        <v>3.9725177304964543</v>
      </c>
      <c r="Y17" s="142">
        <v>5.7250996015936249</v>
      </c>
      <c r="Z17" s="142">
        <v>6.2199453551912569</v>
      </c>
      <c r="AA17" s="165">
        <v>5.66</v>
      </c>
      <c r="AB17" s="165">
        <v>8.7319999999999993</v>
      </c>
      <c r="AC17" s="165">
        <v>12.667999999999999</v>
      </c>
      <c r="AD17" s="142">
        <v>295.83</v>
      </c>
      <c r="AE17" s="142">
        <v>267.44</v>
      </c>
      <c r="AF17" s="142">
        <v>311.10000000000002</v>
      </c>
    </row>
    <row r="20" spans="1:32">
      <c r="A20" s="147" t="s">
        <v>216</v>
      </c>
      <c r="B20" s="147" t="s">
        <v>188</v>
      </c>
      <c r="C20" s="199" t="s">
        <v>497</v>
      </c>
      <c r="D20" s="199"/>
      <c r="E20" s="199"/>
      <c r="F20" s="199" t="s">
        <v>490</v>
      </c>
      <c r="G20" s="199"/>
      <c r="H20" s="199"/>
      <c r="I20" s="199" t="s">
        <v>491</v>
      </c>
      <c r="J20" s="199"/>
      <c r="K20" s="199"/>
      <c r="L20" s="199" t="s">
        <v>492</v>
      </c>
      <c r="M20" s="199" t="s">
        <v>486</v>
      </c>
      <c r="N20" s="199"/>
      <c r="O20" s="199" t="s">
        <v>493</v>
      </c>
      <c r="P20" s="199"/>
      <c r="Q20" s="199"/>
      <c r="R20" s="199" t="s">
        <v>494</v>
      </c>
      <c r="S20" s="199"/>
      <c r="T20" s="199"/>
      <c r="U20" s="199" t="s">
        <v>495</v>
      </c>
      <c r="V20" s="199"/>
      <c r="W20" s="199"/>
      <c r="X20" s="199" t="s">
        <v>496</v>
      </c>
      <c r="Y20" s="199"/>
      <c r="Z20" s="199"/>
      <c r="AA20" s="199" t="s">
        <v>472</v>
      </c>
      <c r="AB20" s="199"/>
      <c r="AC20" s="199"/>
      <c r="AD20" s="199" t="s">
        <v>473</v>
      </c>
      <c r="AE20" s="199"/>
      <c r="AF20" s="199"/>
    </row>
    <row r="21" spans="1:32">
      <c r="A21" s="80">
        <v>1</v>
      </c>
      <c r="B21" s="146" t="s">
        <v>41</v>
      </c>
      <c r="C21" s="200">
        <v>9.5893333333333342</v>
      </c>
      <c r="D21" s="200">
        <v>0.29134248650761807</v>
      </c>
      <c r="E21" s="200"/>
      <c r="F21" s="200">
        <v>2.8269733333333331</v>
      </c>
      <c r="G21" s="200">
        <v>0.12338622361421363</v>
      </c>
      <c r="H21" s="200"/>
      <c r="I21" s="200">
        <v>5.503333333333333</v>
      </c>
      <c r="J21" s="200">
        <v>0.43344870259095347</v>
      </c>
      <c r="K21" s="200"/>
      <c r="L21" s="200">
        <v>69.923333333333332</v>
      </c>
      <c r="M21" s="200">
        <v>1.4086084543896542</v>
      </c>
      <c r="N21" s="200"/>
      <c r="O21" s="200">
        <v>12.830759566082479</v>
      </c>
      <c r="P21" s="202">
        <v>0.79623233276385708</v>
      </c>
      <c r="Q21" s="200"/>
      <c r="R21" s="200">
        <v>6.41</v>
      </c>
      <c r="S21" s="200">
        <v>0.20526405757787849</v>
      </c>
      <c r="T21" s="200"/>
      <c r="U21" s="200">
        <v>44.526666666666664</v>
      </c>
      <c r="V21" s="200">
        <v>5.6454239088939451</v>
      </c>
      <c r="W21" s="200"/>
      <c r="X21" s="200">
        <v>6.9206631937751695</v>
      </c>
      <c r="Y21" s="200">
        <v>0.45252217340812401</v>
      </c>
      <c r="Z21" s="200"/>
      <c r="AA21" s="200">
        <v>16.355666666666668</v>
      </c>
      <c r="AB21" s="200">
        <v>1.7863820357856777</v>
      </c>
      <c r="AC21" s="200"/>
      <c r="AD21" s="200">
        <v>224.77466666666666</v>
      </c>
      <c r="AE21" s="200">
        <v>54.000264151617344</v>
      </c>
      <c r="AF21" s="52"/>
    </row>
    <row r="22" spans="1:32">
      <c r="A22" s="80">
        <v>2</v>
      </c>
      <c r="B22" s="146" t="s">
        <v>218</v>
      </c>
      <c r="C22" s="200">
        <v>9.7713333333333328</v>
      </c>
      <c r="D22" s="200">
        <v>0.32395541531376087</v>
      </c>
      <c r="E22" s="200"/>
      <c r="F22" s="200">
        <v>2.3308216666666666</v>
      </c>
      <c r="G22" s="200">
        <v>0.10464831128527849</v>
      </c>
      <c r="H22" s="200"/>
      <c r="I22" s="200">
        <v>5.3366666666666669</v>
      </c>
      <c r="J22" s="200">
        <v>0.81208237130095129</v>
      </c>
      <c r="K22" s="200"/>
      <c r="L22" s="200">
        <v>48.326666666666661</v>
      </c>
      <c r="M22" s="200">
        <v>7.4947989373372188</v>
      </c>
      <c r="N22" s="200"/>
      <c r="O22" s="200">
        <v>9.5465911095002127</v>
      </c>
      <c r="P22" s="202">
        <v>0.28676372905079001</v>
      </c>
      <c r="Q22" s="200"/>
      <c r="R22" s="200">
        <v>7.5933333333333337</v>
      </c>
      <c r="S22" s="200">
        <v>0.62172698545619587</v>
      </c>
      <c r="T22" s="200"/>
      <c r="U22" s="200">
        <v>50.669999999999995</v>
      </c>
      <c r="V22" s="200">
        <v>6.0096450255679486</v>
      </c>
      <c r="W22" s="200"/>
      <c r="X22" s="200">
        <v>6.7445252313057296</v>
      </c>
      <c r="Y22" s="200">
        <v>0.32569132075438201</v>
      </c>
      <c r="Z22" s="200"/>
      <c r="AA22" s="200">
        <v>14.364666666666666</v>
      </c>
      <c r="AB22" s="200">
        <v>0.8772915390247773</v>
      </c>
      <c r="AC22" s="200"/>
      <c r="AD22" s="200">
        <v>268.72000000000003</v>
      </c>
      <c r="AE22" s="200">
        <v>45.74891947722179</v>
      </c>
      <c r="AF22" s="52"/>
    </row>
    <row r="23" spans="1:32">
      <c r="A23" s="80">
        <v>3</v>
      </c>
      <c r="B23" s="146" t="s">
        <v>219</v>
      </c>
      <c r="C23" s="200">
        <v>13.788666666666666</v>
      </c>
      <c r="D23" s="200">
        <v>0.87010063274952054</v>
      </c>
      <c r="E23" s="200"/>
      <c r="F23" s="200">
        <v>2.4718858333333333</v>
      </c>
      <c r="G23" s="200">
        <v>0.15015328793528829</v>
      </c>
      <c r="H23" s="200"/>
      <c r="I23" s="200">
        <v>3.9466666666666668</v>
      </c>
      <c r="J23" s="200">
        <v>0.4573960112540465</v>
      </c>
      <c r="K23" s="200"/>
      <c r="L23" s="200">
        <v>55.793333333333329</v>
      </c>
      <c r="M23" s="200">
        <v>8.5775216570859119</v>
      </c>
      <c r="N23" s="200"/>
      <c r="O23" s="200">
        <v>14.34170922270021</v>
      </c>
      <c r="P23" s="202">
        <v>0.45208970362181</v>
      </c>
      <c r="Q23" s="200"/>
      <c r="R23" s="200">
        <v>9.8366666666666678</v>
      </c>
      <c r="S23" s="200">
        <v>2.042754132156984</v>
      </c>
      <c r="T23" s="200"/>
      <c r="U23" s="200">
        <v>45.936666666666667</v>
      </c>
      <c r="V23" s="200">
        <v>3.6913427246885568</v>
      </c>
      <c r="W23" s="200"/>
      <c r="X23" s="200">
        <v>5.3587000187551483</v>
      </c>
      <c r="Y23" s="200">
        <v>0.70450250085675004</v>
      </c>
      <c r="Z23" s="200"/>
      <c r="AA23" s="200">
        <v>19.123666666666669</v>
      </c>
      <c r="AB23" s="200">
        <v>6.3090763543045256E-2</v>
      </c>
      <c r="AC23" s="200"/>
      <c r="AD23" s="200">
        <v>253.57000000000002</v>
      </c>
      <c r="AE23" s="200">
        <v>10.870392510545926</v>
      </c>
      <c r="AF23" s="52"/>
    </row>
    <row r="24" spans="1:32">
      <c r="A24" s="80">
        <v>4</v>
      </c>
      <c r="B24" s="146" t="s">
        <v>220</v>
      </c>
      <c r="C24" s="200">
        <v>9.952</v>
      </c>
      <c r="D24" s="200">
        <v>0.22276744226509804</v>
      </c>
      <c r="E24" s="200"/>
      <c r="F24" s="200">
        <v>2.12547</v>
      </c>
      <c r="G24" s="200">
        <v>0.13210101441069072</v>
      </c>
      <c r="H24" s="200"/>
      <c r="I24" s="200">
        <v>4.1733333333333329</v>
      </c>
      <c r="J24" s="200">
        <v>0.27351619899214608</v>
      </c>
      <c r="K24" s="200"/>
      <c r="L24" s="200">
        <v>56.31</v>
      </c>
      <c r="M24" s="200">
        <v>1.1908960212096034</v>
      </c>
      <c r="N24" s="200"/>
      <c r="O24" s="200">
        <v>13.64214334969771</v>
      </c>
      <c r="P24" s="202">
        <v>0.75420907231487</v>
      </c>
      <c r="Q24" s="200"/>
      <c r="R24" s="200">
        <v>8.98</v>
      </c>
      <c r="S24" s="200">
        <v>2.0316085580970893</v>
      </c>
      <c r="T24" s="200"/>
      <c r="U24" s="200">
        <v>52.436666666666667</v>
      </c>
      <c r="V24" s="200">
        <v>3.7994093108154501</v>
      </c>
      <c r="W24" s="200"/>
      <c r="X24" s="200">
        <v>6.4243907987445681</v>
      </c>
      <c r="Y24" s="200">
        <v>0.32859896005837003</v>
      </c>
      <c r="Z24" s="200"/>
      <c r="AA24" s="200">
        <v>19.449666666666669</v>
      </c>
      <c r="AB24" s="200">
        <v>7.6494734749814178E-2</v>
      </c>
      <c r="AC24" s="200"/>
      <c r="AD24" s="200">
        <v>211.85999999999999</v>
      </c>
      <c r="AE24" s="200">
        <v>15.829037662894706</v>
      </c>
      <c r="AF24" s="52"/>
    </row>
    <row r="25" spans="1:32">
      <c r="A25" s="80">
        <v>5</v>
      </c>
      <c r="B25" s="146" t="s">
        <v>45</v>
      </c>
      <c r="C25" s="200">
        <v>9.7619999999999987</v>
      </c>
      <c r="D25" s="200">
        <v>0.20306649157361434</v>
      </c>
      <c r="E25" s="200"/>
      <c r="F25" s="200">
        <v>1.3623866666666664</v>
      </c>
      <c r="G25" s="200">
        <v>0.13920131963524854</v>
      </c>
      <c r="H25" s="200"/>
      <c r="I25" s="200">
        <v>4.4366666666666665</v>
      </c>
      <c r="J25" s="200">
        <v>0.64638309933901616</v>
      </c>
      <c r="K25" s="200"/>
      <c r="L25" s="200">
        <v>54.98</v>
      </c>
      <c r="M25" s="200">
        <v>4.8525045079834879</v>
      </c>
      <c r="N25" s="200"/>
      <c r="O25" s="200">
        <v>12.95976745448842</v>
      </c>
      <c r="P25" s="202">
        <v>0.41096508639938001</v>
      </c>
      <c r="Q25" s="200"/>
      <c r="R25" s="200">
        <v>7.913333333333334</v>
      </c>
      <c r="S25" s="200">
        <v>1.4817819602687063</v>
      </c>
      <c r="T25" s="200"/>
      <c r="U25" s="200">
        <v>49.49</v>
      </c>
      <c r="V25" s="200">
        <v>5.5920330232692192</v>
      </c>
      <c r="W25" s="200"/>
      <c r="X25" s="200">
        <v>6.5419974262500178</v>
      </c>
      <c r="Y25" s="200">
        <v>0.7</v>
      </c>
      <c r="Z25" s="200"/>
      <c r="AA25" s="200">
        <v>14.352333333333334</v>
      </c>
      <c r="AB25" s="200">
        <v>0.22817123199713171</v>
      </c>
      <c r="AC25" s="200"/>
      <c r="AD25" s="200">
        <v>257.70666666666665</v>
      </c>
      <c r="AE25" s="200">
        <v>34.04554123197012</v>
      </c>
      <c r="AF25" s="52"/>
    </row>
    <row r="26" spans="1:32">
      <c r="A26" s="80">
        <v>6</v>
      </c>
      <c r="B26" s="146" t="s">
        <v>46</v>
      </c>
      <c r="C26" s="200">
        <v>10.19</v>
      </c>
      <c r="D26" s="200">
        <v>0.94097042107248541</v>
      </c>
      <c r="E26" s="200"/>
      <c r="F26" s="200">
        <v>2.7478224999999998</v>
      </c>
      <c r="G26" s="200">
        <v>0.22936383827520013</v>
      </c>
      <c r="H26" s="200"/>
      <c r="I26" s="200">
        <v>4.5233333333333334</v>
      </c>
      <c r="J26" s="200">
        <v>0.2595722977857588</v>
      </c>
      <c r="K26" s="200"/>
      <c r="L26" s="200">
        <v>40.166666666666664</v>
      </c>
      <c r="M26" s="200">
        <v>4.7752498480300769</v>
      </c>
      <c r="N26" s="200"/>
      <c r="O26" s="200">
        <v>8.8188226861061931</v>
      </c>
      <c r="P26" s="202">
        <v>0.56878847143624867</v>
      </c>
      <c r="Q26" s="200"/>
      <c r="R26" s="200">
        <v>10.923333333333334</v>
      </c>
      <c r="S26" s="200">
        <v>2.5273262111919297</v>
      </c>
      <c r="T26" s="200"/>
      <c r="U26" s="200">
        <v>44.93</v>
      </c>
      <c r="V26" s="200">
        <v>6.2916955849225165</v>
      </c>
      <c r="W26" s="200"/>
      <c r="X26" s="200">
        <v>4.6572640057614594</v>
      </c>
      <c r="Y26" s="200">
        <v>0.25437852465888</v>
      </c>
      <c r="Z26" s="200"/>
      <c r="AA26" s="200">
        <v>15.285333333333334</v>
      </c>
      <c r="AB26" s="200">
        <v>1.2671949775433551</v>
      </c>
      <c r="AC26" s="200"/>
      <c r="AD26" s="200">
        <v>252.64999999999998</v>
      </c>
      <c r="AE26" s="200">
        <v>24.492640391214156</v>
      </c>
      <c r="AF26" s="52"/>
    </row>
    <row r="27" spans="1:32">
      <c r="A27" s="80">
        <v>7</v>
      </c>
      <c r="B27" s="146" t="s">
        <v>189</v>
      </c>
      <c r="C27" s="200">
        <v>12.426666666666668</v>
      </c>
      <c r="D27" s="200">
        <v>0.81322512941442582</v>
      </c>
      <c r="E27" s="200"/>
      <c r="F27" s="200">
        <v>2.4392516666666668</v>
      </c>
      <c r="G27" s="200">
        <v>3.5067856255571218E-2</v>
      </c>
      <c r="H27" s="200"/>
      <c r="I27" s="200">
        <v>5.0100000000000007</v>
      </c>
      <c r="J27" s="200">
        <v>0.77590807015607921</v>
      </c>
      <c r="K27" s="200"/>
      <c r="L27" s="200">
        <v>57.70333333333334</v>
      </c>
      <c r="M27" s="200">
        <v>7.028611369095433</v>
      </c>
      <c r="N27" s="200"/>
      <c r="O27" s="200">
        <v>12.003850141667721</v>
      </c>
      <c r="P27" s="202">
        <v>0.31034715762906001</v>
      </c>
      <c r="Q27" s="200"/>
      <c r="R27" s="200">
        <v>8.4266666666666676</v>
      </c>
      <c r="S27" s="200">
        <v>0.48820533020896162</v>
      </c>
      <c r="T27" s="200"/>
      <c r="U27" s="200">
        <v>61.806666666666672</v>
      </c>
      <c r="V27" s="200">
        <v>17.321691924033022</v>
      </c>
      <c r="W27" s="200"/>
      <c r="X27" s="200">
        <v>7.5525434134575562</v>
      </c>
      <c r="Y27" s="200">
        <v>0.48576878093201997</v>
      </c>
      <c r="Z27" s="200"/>
      <c r="AA27" s="200">
        <v>11.869</v>
      </c>
      <c r="AB27" s="200">
        <v>1.5168622218250414</v>
      </c>
      <c r="AC27" s="200"/>
      <c r="AD27" s="200">
        <v>208.45000000000002</v>
      </c>
      <c r="AE27" s="200">
        <v>51.510041739451097</v>
      </c>
      <c r="AF27" s="52"/>
    </row>
    <row r="28" spans="1:32">
      <c r="A28" s="201"/>
      <c r="B28" s="147" t="s">
        <v>448</v>
      </c>
      <c r="C28" s="199" t="s">
        <v>489</v>
      </c>
      <c r="D28" s="199"/>
      <c r="E28" s="199"/>
      <c r="F28" s="199" t="s">
        <v>490</v>
      </c>
      <c r="G28" s="199"/>
      <c r="H28" s="199"/>
      <c r="I28" s="199" t="s">
        <v>491</v>
      </c>
      <c r="J28" s="199"/>
      <c r="K28" s="199"/>
      <c r="L28" s="199" t="s">
        <v>492</v>
      </c>
      <c r="M28" s="199" t="s">
        <v>486</v>
      </c>
      <c r="N28" s="199"/>
      <c r="O28" s="199" t="s">
        <v>493</v>
      </c>
      <c r="P28" s="199"/>
      <c r="Q28" s="199"/>
      <c r="R28" s="199" t="s">
        <v>494</v>
      </c>
      <c r="S28" s="199"/>
      <c r="T28" s="199"/>
      <c r="U28" s="199" t="s">
        <v>495</v>
      </c>
      <c r="V28" s="199"/>
      <c r="W28" s="199"/>
      <c r="X28" s="199" t="s">
        <v>496</v>
      </c>
      <c r="Y28" s="199"/>
      <c r="Z28" s="199"/>
      <c r="AA28" s="199" t="s">
        <v>472</v>
      </c>
      <c r="AB28" s="199"/>
      <c r="AC28" s="199"/>
      <c r="AD28" s="199" t="s">
        <v>473</v>
      </c>
      <c r="AE28" s="199"/>
      <c r="AF28" s="199"/>
    </row>
    <row r="29" spans="1:32">
      <c r="A29" s="80">
        <v>1</v>
      </c>
      <c r="B29" s="146" t="s">
        <v>29</v>
      </c>
      <c r="C29" s="200">
        <v>8.4</v>
      </c>
      <c r="D29" s="200">
        <v>0.39395431207183002</v>
      </c>
      <c r="E29" s="200"/>
      <c r="F29" s="200">
        <v>1.1812058333333331</v>
      </c>
      <c r="G29" s="200">
        <v>0.14361561594911768</v>
      </c>
      <c r="H29" s="200"/>
      <c r="I29" s="200">
        <v>6.083333333333333</v>
      </c>
      <c r="J29" s="200">
        <v>0.97929112684181285</v>
      </c>
      <c r="K29" s="200"/>
      <c r="L29" s="200">
        <v>60.883333333333333</v>
      </c>
      <c r="M29" s="200">
        <v>1.0179118058282814</v>
      </c>
      <c r="N29" s="200"/>
      <c r="O29" s="200">
        <v>10.525342938431571</v>
      </c>
      <c r="P29" s="200">
        <v>1.6070862136151753</v>
      </c>
      <c r="Q29" s="200"/>
      <c r="R29" s="200">
        <v>6.6866666666666674</v>
      </c>
      <c r="S29" s="200">
        <v>0.88425737831872775</v>
      </c>
      <c r="T29" s="200"/>
      <c r="U29" s="200">
        <v>38.47</v>
      </c>
      <c r="V29" s="200">
        <v>3.3268653915260025</v>
      </c>
      <c r="W29" s="200"/>
      <c r="X29" s="200">
        <v>5.8371455646261508</v>
      </c>
      <c r="Y29" s="200">
        <v>0.32239354657664188</v>
      </c>
      <c r="Z29" s="200"/>
      <c r="AA29" s="200">
        <v>10.495333333333333</v>
      </c>
      <c r="AB29" s="200">
        <v>1.6197902470518937</v>
      </c>
      <c r="AC29" s="200"/>
      <c r="AD29" s="200">
        <v>283.66666666666669</v>
      </c>
      <c r="AE29" s="200">
        <v>52.607758088623306</v>
      </c>
      <c r="AF29" s="52"/>
    </row>
    <row r="30" spans="1:32">
      <c r="A30" s="80">
        <v>2</v>
      </c>
      <c r="B30" s="146" t="s">
        <v>30</v>
      </c>
      <c r="C30" s="200">
        <v>7.8033333333333319</v>
      </c>
      <c r="D30" s="200">
        <v>0.64591881154764319</v>
      </c>
      <c r="E30" s="200"/>
      <c r="F30" s="200">
        <v>1.1518741666666668</v>
      </c>
      <c r="G30" s="200">
        <v>0.27330538357734763</v>
      </c>
      <c r="H30" s="200"/>
      <c r="I30" s="200">
        <v>4.4033333333333333</v>
      </c>
      <c r="J30" s="200">
        <v>0.45812419470901045</v>
      </c>
      <c r="K30" s="200"/>
      <c r="L30" s="200">
        <v>60.95333333333334</v>
      </c>
      <c r="M30" s="200">
        <v>4.10346330690441</v>
      </c>
      <c r="N30" s="200"/>
      <c r="O30" s="200">
        <v>13.987854774403971</v>
      </c>
      <c r="P30" s="200">
        <v>0.82965075768864383</v>
      </c>
      <c r="Q30" s="200"/>
      <c r="R30" s="200">
        <v>7.12</v>
      </c>
      <c r="S30" s="200">
        <v>0.94732958010046842</v>
      </c>
      <c r="T30" s="200"/>
      <c r="U30" s="200">
        <v>36.613333333333337</v>
      </c>
      <c r="V30" s="200">
        <v>2.7987636159164673</v>
      </c>
      <c r="W30" s="200"/>
      <c r="X30" s="200">
        <v>5.2316792749034269</v>
      </c>
      <c r="Y30" s="200">
        <v>0.33950453068791381</v>
      </c>
      <c r="Z30" s="200"/>
      <c r="AA30" s="200">
        <v>14.214999999999998</v>
      </c>
      <c r="AB30" s="200">
        <v>2.7981698185302033</v>
      </c>
      <c r="AC30" s="200"/>
      <c r="AD30" s="200">
        <v>329.00666666666666</v>
      </c>
      <c r="AE30" s="200">
        <v>28.936886686565092</v>
      </c>
      <c r="AF30" s="52"/>
    </row>
    <row r="31" spans="1:32">
      <c r="A31" s="80">
        <v>3</v>
      </c>
      <c r="B31" s="146" t="s">
        <v>31</v>
      </c>
      <c r="C31" s="200">
        <v>8.0533333333333346</v>
      </c>
      <c r="D31" s="200">
        <v>0.52934970587609198</v>
      </c>
      <c r="E31" s="200"/>
      <c r="F31" s="200">
        <v>1.3792266666666666</v>
      </c>
      <c r="G31" s="200">
        <v>0.17482292327007454</v>
      </c>
      <c r="H31" s="200"/>
      <c r="I31" s="200">
        <v>4.7966666666666669</v>
      </c>
      <c r="J31" s="200">
        <v>1.129975417628386</v>
      </c>
      <c r="K31" s="200"/>
      <c r="L31" s="200">
        <v>57.663333333333334</v>
      </c>
      <c r="M31" s="200">
        <v>0.92212315398269484</v>
      </c>
      <c r="N31" s="200"/>
      <c r="O31" s="200">
        <v>13.842767293529869</v>
      </c>
      <c r="P31" s="200">
        <v>3.9757351246684887</v>
      </c>
      <c r="Q31" s="200"/>
      <c r="R31" s="200">
        <v>7.166666666666667</v>
      </c>
      <c r="S31" s="200">
        <v>0.7876194794724457</v>
      </c>
      <c r="T31" s="200"/>
      <c r="U31" s="200">
        <v>39.413333333333334</v>
      </c>
      <c r="V31" s="200">
        <v>0.56463360784781924</v>
      </c>
      <c r="W31" s="200"/>
      <c r="X31" s="200">
        <v>5.6263380722823451</v>
      </c>
      <c r="Y31" s="200">
        <v>0.57728941740628092</v>
      </c>
      <c r="Z31" s="200"/>
      <c r="AA31" s="200">
        <v>10.536333333333333</v>
      </c>
      <c r="AB31" s="200">
        <v>1.6012843109343327</v>
      </c>
      <c r="AC31" s="200"/>
      <c r="AD31" s="200">
        <v>324.19</v>
      </c>
      <c r="AE31" s="200">
        <v>45.392081174290041</v>
      </c>
      <c r="AF31" s="52"/>
    </row>
    <row r="32" spans="1:32">
      <c r="A32" s="80">
        <v>4</v>
      </c>
      <c r="B32" s="146" t="s">
        <v>32</v>
      </c>
      <c r="C32" s="200">
        <v>8.18</v>
      </c>
      <c r="D32" s="200">
        <v>0.35472994422988496</v>
      </c>
      <c r="E32" s="200"/>
      <c r="F32" s="200">
        <v>1.3071541666666666</v>
      </c>
      <c r="G32" s="200">
        <v>5.7479445317675612E-2</v>
      </c>
      <c r="H32" s="200"/>
      <c r="I32" s="200">
        <v>6.373333333333334</v>
      </c>
      <c r="J32" s="200">
        <v>0.47680650629416288</v>
      </c>
      <c r="K32" s="200"/>
      <c r="L32" s="200">
        <v>49.65</v>
      </c>
      <c r="M32" s="200">
        <v>9.2878217754936223</v>
      </c>
      <c r="N32" s="200"/>
      <c r="O32" s="200">
        <v>8.0635065571893616</v>
      </c>
      <c r="P32" s="200">
        <v>1.9011820132054922</v>
      </c>
      <c r="Q32" s="200"/>
      <c r="R32" s="200">
        <v>7.5466666666666669</v>
      </c>
      <c r="S32" s="200">
        <v>0.68494119780054352</v>
      </c>
      <c r="T32" s="200"/>
      <c r="U32" s="200">
        <v>37.549999999999997</v>
      </c>
      <c r="V32" s="200">
        <v>1.9162550282604816</v>
      </c>
      <c r="W32" s="200"/>
      <c r="X32" s="200">
        <v>5.0690564135265488</v>
      </c>
      <c r="Y32" s="200">
        <v>0.55333266720981722</v>
      </c>
      <c r="Z32" s="200"/>
      <c r="AA32" s="200">
        <v>12.959666666666669</v>
      </c>
      <c r="AB32" s="200">
        <v>9.3734257937518481E-2</v>
      </c>
      <c r="AC32" s="200"/>
      <c r="AD32" s="200">
        <v>242.63666666666668</v>
      </c>
      <c r="AE32" s="200">
        <v>9.8328367106228853</v>
      </c>
      <c r="AF32" s="52"/>
    </row>
    <row r="33" spans="1:32">
      <c r="A33" s="80">
        <v>5</v>
      </c>
      <c r="B33" s="146" t="s">
        <v>33</v>
      </c>
      <c r="C33" s="200">
        <v>8.8133333333333326</v>
      </c>
      <c r="D33" s="200">
        <v>0.70979652796496495</v>
      </c>
      <c r="E33" s="200"/>
      <c r="F33" s="200">
        <v>1.162455</v>
      </c>
      <c r="G33" s="200">
        <v>4.3466262659485048E-2</v>
      </c>
      <c r="H33" s="200"/>
      <c r="I33" s="200">
        <v>5.6766666666666667</v>
      </c>
      <c r="J33" s="200">
        <v>0.46423174289476393</v>
      </c>
      <c r="K33" s="200"/>
      <c r="L33" s="200">
        <v>48.236666666666672</v>
      </c>
      <c r="M33" s="200">
        <v>4.7054235846638726</v>
      </c>
      <c r="N33" s="200"/>
      <c r="O33" s="200">
        <v>8.6151695525743595</v>
      </c>
      <c r="P33" s="200">
        <v>1.0585964631286355</v>
      </c>
      <c r="Q33" s="200"/>
      <c r="R33" s="200">
        <v>9.6566666666666663</v>
      </c>
      <c r="S33" s="200">
        <v>1.3518177063166184</v>
      </c>
      <c r="T33" s="200"/>
      <c r="U33" s="200">
        <v>48.390000000000008</v>
      </c>
      <c r="V33" s="200">
        <v>1.5445711378890308</v>
      </c>
      <c r="W33" s="200"/>
      <c r="X33" s="200">
        <v>5.2558995636092396</v>
      </c>
      <c r="Y33" s="200">
        <v>0.88162509545431433</v>
      </c>
      <c r="Z33" s="200"/>
      <c r="AA33" s="200">
        <v>11.045333333333334</v>
      </c>
      <c r="AB33" s="200">
        <v>2.1948947836083397</v>
      </c>
      <c r="AC33" s="200"/>
      <c r="AD33" s="200">
        <v>295.69</v>
      </c>
      <c r="AE33" s="200">
        <v>41.150451192342125</v>
      </c>
      <c r="AF33" s="52"/>
    </row>
    <row r="34" spans="1:32">
      <c r="A34" s="80">
        <v>6</v>
      </c>
      <c r="B34" s="146" t="s">
        <v>34</v>
      </c>
      <c r="C34" s="200">
        <v>8.44</v>
      </c>
      <c r="D34" s="200">
        <v>0.60928920336186509</v>
      </c>
      <c r="E34" s="200"/>
      <c r="F34" s="200">
        <v>1.2633641666666664</v>
      </c>
      <c r="G34" s="200">
        <v>7.4619035137564765E-2</v>
      </c>
      <c r="H34" s="200"/>
      <c r="I34" s="200">
        <v>4.82</v>
      </c>
      <c r="J34" s="200">
        <v>0.80299439599538858</v>
      </c>
      <c r="K34" s="200"/>
      <c r="L34" s="200">
        <v>47.106666666666662</v>
      </c>
      <c r="M34" s="200">
        <v>5.7697958754573548</v>
      </c>
      <c r="N34" s="200"/>
      <c r="O34" s="200">
        <v>10.670806531823482</v>
      </c>
      <c r="P34" s="200">
        <v>2.6951385153732472</v>
      </c>
      <c r="Q34" s="200"/>
      <c r="R34" s="200">
        <v>8.6866666666666674</v>
      </c>
      <c r="S34" s="200">
        <v>1.356666666666666</v>
      </c>
      <c r="T34" s="200"/>
      <c r="U34" s="200">
        <v>50.976666666666667</v>
      </c>
      <c r="V34" s="200">
        <v>8.7325336784031045</v>
      </c>
      <c r="W34" s="200"/>
      <c r="X34" s="200">
        <v>5.8440200090950425</v>
      </c>
      <c r="Y34" s="200">
        <v>0.11339024207498634</v>
      </c>
      <c r="Z34" s="200"/>
      <c r="AA34" s="200">
        <v>11.458333333333334</v>
      </c>
      <c r="AB34" s="200">
        <v>3.9534687020106523</v>
      </c>
      <c r="AC34" s="200"/>
      <c r="AD34" s="200">
        <v>286.55333333333334</v>
      </c>
      <c r="AE34" s="200">
        <v>12.775226460266978</v>
      </c>
      <c r="AF34" s="52"/>
    </row>
    <row r="35" spans="1:32">
      <c r="A35" s="80">
        <v>7</v>
      </c>
      <c r="B35" s="146" t="s">
        <v>35</v>
      </c>
      <c r="C35" s="200">
        <v>7.25</v>
      </c>
      <c r="D35" s="200">
        <v>0.13868429375142785</v>
      </c>
      <c r="E35" s="200"/>
      <c r="F35" s="200">
        <v>1.4436099999999998</v>
      </c>
      <c r="G35" s="200">
        <v>0.14466260756354174</v>
      </c>
      <c r="H35" s="200"/>
      <c r="I35" s="200">
        <v>4.51</v>
      </c>
      <c r="J35" s="200">
        <v>0.75286120898874898</v>
      </c>
      <c r="K35" s="200"/>
      <c r="L35" s="200">
        <v>46.373333333333335</v>
      </c>
      <c r="M35" s="200">
        <v>10.334875153790888</v>
      </c>
      <c r="N35" s="200"/>
      <c r="O35" s="200">
        <v>10.207677055130661</v>
      </c>
      <c r="P35" s="200">
        <v>1.0136620896854971</v>
      </c>
      <c r="Q35" s="200"/>
      <c r="R35" s="200">
        <v>8.7099999999999991</v>
      </c>
      <c r="S35" s="200">
        <v>1.2864291663360261</v>
      </c>
      <c r="T35" s="200"/>
      <c r="U35" s="200">
        <v>44.483333333333327</v>
      </c>
      <c r="V35" s="200">
        <v>0.71743369805955592</v>
      </c>
      <c r="W35" s="200"/>
      <c r="X35" s="200">
        <v>5.3058542290937787</v>
      </c>
      <c r="Y35" s="200">
        <v>0.68180098362895647</v>
      </c>
      <c r="Z35" s="200"/>
      <c r="AA35" s="200">
        <v>9.02</v>
      </c>
      <c r="AB35" s="200">
        <v>2.0281538403188262</v>
      </c>
      <c r="AC35" s="200"/>
      <c r="AD35" s="200">
        <v>291.45666666666665</v>
      </c>
      <c r="AE35" s="200">
        <v>12.791838978209649</v>
      </c>
      <c r="AF35" s="52"/>
    </row>
    <row r="37" spans="1:32">
      <c r="R37" s="148"/>
    </row>
    <row r="38" spans="1:32">
      <c r="R38" s="148"/>
    </row>
    <row r="39" spans="1:32">
      <c r="R39" s="148"/>
    </row>
    <row r="40" spans="1:32">
      <c r="R40" s="148"/>
    </row>
    <row r="41" spans="1:32">
      <c r="R41" s="148"/>
    </row>
    <row r="42" spans="1:32">
      <c r="R42" s="148"/>
    </row>
    <row r="43" spans="1:32">
      <c r="R43" s="148"/>
    </row>
  </sheetData>
  <mergeCells count="10">
    <mergeCell ref="C1:E1"/>
    <mergeCell ref="AD1:AF1"/>
    <mergeCell ref="AA1:AC1"/>
    <mergeCell ref="U1:W1"/>
    <mergeCell ref="R1:T1"/>
    <mergeCell ref="L1:N1"/>
    <mergeCell ref="I1:K1"/>
    <mergeCell ref="F1:H1"/>
    <mergeCell ref="O1:Q1"/>
    <mergeCell ref="X1:Z1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0"/>
  <sheetViews>
    <sheetView zoomScale="60" zoomScaleNormal="60" workbookViewId="0">
      <selection activeCell="J13" sqref="J13:K19"/>
    </sheetView>
  </sheetViews>
  <sheetFormatPr defaultRowHeight="12.75"/>
  <cols>
    <col min="1" max="1" width="10.7109375" style="97" bestFit="1" customWidth="1"/>
    <col min="2" max="2" width="18.7109375" style="97" bestFit="1" customWidth="1"/>
    <col min="3" max="3" width="14.42578125" style="97" customWidth="1"/>
    <col min="4" max="5" width="11" style="97" customWidth="1"/>
    <col min="6" max="6" width="15" style="97" customWidth="1"/>
    <col min="7" max="7" width="11" style="97" customWidth="1"/>
    <col min="8" max="8" width="12.7109375" style="97" customWidth="1"/>
    <col min="9" max="9" width="12.85546875" style="97" customWidth="1"/>
    <col min="10" max="10" width="15" style="97" bestFit="1" customWidth="1"/>
    <col min="11" max="11" width="12.28515625" style="97" bestFit="1" customWidth="1"/>
    <col min="12" max="14" width="9.140625" style="97"/>
    <col min="15" max="15" width="15.28515625" style="97" customWidth="1"/>
    <col min="16" max="16" width="9.28515625" style="97" bestFit="1" customWidth="1"/>
    <col min="17" max="246" width="9.140625" style="97"/>
    <col min="247" max="247" width="15.42578125" style="97" customWidth="1"/>
    <col min="248" max="248" width="14.42578125" style="97" customWidth="1"/>
    <col min="249" max="250" width="11" style="97" customWidth="1"/>
    <col min="251" max="251" width="15" style="97" customWidth="1"/>
    <col min="252" max="252" width="11" style="97" customWidth="1"/>
    <col min="253" max="253" width="12.7109375" style="97" customWidth="1"/>
    <col min="254" max="254" width="12.85546875" style="97" customWidth="1"/>
    <col min="255" max="255" width="13.42578125" style="97" customWidth="1"/>
    <col min="256" max="259" width="9.140625" style="97"/>
    <col min="260" max="260" width="15.28515625" style="97" customWidth="1"/>
    <col min="261" max="261" width="9.28515625" style="97" bestFit="1" customWidth="1"/>
    <col min="262" max="262" width="9.140625" style="97"/>
    <col min="263" max="263" width="12.7109375" style="97" customWidth="1"/>
    <col min="264" max="502" width="9.140625" style="97"/>
    <col min="503" max="503" width="15.42578125" style="97" customWidth="1"/>
    <col min="504" max="504" width="14.42578125" style="97" customWidth="1"/>
    <col min="505" max="506" width="11" style="97" customWidth="1"/>
    <col min="507" max="507" width="15" style="97" customWidth="1"/>
    <col min="508" max="508" width="11" style="97" customWidth="1"/>
    <col min="509" max="509" width="12.7109375" style="97" customWidth="1"/>
    <col min="510" max="510" width="12.85546875" style="97" customWidth="1"/>
    <col min="511" max="511" width="13.42578125" style="97" customWidth="1"/>
    <col min="512" max="515" width="9.140625" style="97"/>
    <col min="516" max="516" width="15.28515625" style="97" customWidth="1"/>
    <col min="517" max="517" width="9.28515625" style="97" bestFit="1" customWidth="1"/>
    <col min="518" max="518" width="9.140625" style="97"/>
    <col min="519" max="519" width="12.7109375" style="97" customWidth="1"/>
    <col min="520" max="758" width="9.140625" style="97"/>
    <col min="759" max="759" width="15.42578125" style="97" customWidth="1"/>
    <col min="760" max="760" width="14.42578125" style="97" customWidth="1"/>
    <col min="761" max="762" width="11" style="97" customWidth="1"/>
    <col min="763" max="763" width="15" style="97" customWidth="1"/>
    <col min="764" max="764" width="11" style="97" customWidth="1"/>
    <col min="765" max="765" width="12.7109375" style="97" customWidth="1"/>
    <col min="766" max="766" width="12.85546875" style="97" customWidth="1"/>
    <col min="767" max="767" width="13.42578125" style="97" customWidth="1"/>
    <col min="768" max="771" width="9.140625" style="97"/>
    <col min="772" max="772" width="15.28515625" style="97" customWidth="1"/>
    <col min="773" max="773" width="9.28515625" style="97" bestFit="1" customWidth="1"/>
    <col min="774" max="774" width="9.140625" style="97"/>
    <col min="775" max="775" width="12.7109375" style="97" customWidth="1"/>
    <col min="776" max="1014" width="9.140625" style="97"/>
    <col min="1015" max="1015" width="15.42578125" style="97" customWidth="1"/>
    <col min="1016" max="1016" width="14.42578125" style="97" customWidth="1"/>
    <col min="1017" max="1018" width="11" style="97" customWidth="1"/>
    <col min="1019" max="1019" width="15" style="97" customWidth="1"/>
    <col min="1020" max="1020" width="11" style="97" customWidth="1"/>
    <col min="1021" max="1021" width="12.7109375" style="97" customWidth="1"/>
    <col min="1022" max="1022" width="12.85546875" style="97" customWidth="1"/>
    <col min="1023" max="1023" width="13.42578125" style="97" customWidth="1"/>
    <col min="1024" max="1027" width="9.140625" style="97"/>
    <col min="1028" max="1028" width="15.28515625" style="97" customWidth="1"/>
    <col min="1029" max="1029" width="9.28515625" style="97" bestFit="1" customWidth="1"/>
    <col min="1030" max="1030" width="9.140625" style="97"/>
    <col min="1031" max="1031" width="12.7109375" style="97" customWidth="1"/>
    <col min="1032" max="1270" width="9.140625" style="97"/>
    <col min="1271" max="1271" width="15.42578125" style="97" customWidth="1"/>
    <col min="1272" max="1272" width="14.42578125" style="97" customWidth="1"/>
    <col min="1273" max="1274" width="11" style="97" customWidth="1"/>
    <col min="1275" max="1275" width="15" style="97" customWidth="1"/>
    <col min="1276" max="1276" width="11" style="97" customWidth="1"/>
    <col min="1277" max="1277" width="12.7109375" style="97" customWidth="1"/>
    <col min="1278" max="1278" width="12.85546875" style="97" customWidth="1"/>
    <col min="1279" max="1279" width="13.42578125" style="97" customWidth="1"/>
    <col min="1280" max="1283" width="9.140625" style="97"/>
    <col min="1284" max="1284" width="15.28515625" style="97" customWidth="1"/>
    <col min="1285" max="1285" width="9.28515625" style="97" bestFit="1" customWidth="1"/>
    <col min="1286" max="1286" width="9.140625" style="97"/>
    <col min="1287" max="1287" width="12.7109375" style="97" customWidth="1"/>
    <col min="1288" max="1526" width="9.140625" style="97"/>
    <col min="1527" max="1527" width="15.42578125" style="97" customWidth="1"/>
    <col min="1528" max="1528" width="14.42578125" style="97" customWidth="1"/>
    <col min="1529" max="1530" width="11" style="97" customWidth="1"/>
    <col min="1531" max="1531" width="15" style="97" customWidth="1"/>
    <col min="1532" max="1532" width="11" style="97" customWidth="1"/>
    <col min="1533" max="1533" width="12.7109375" style="97" customWidth="1"/>
    <col min="1534" max="1534" width="12.85546875" style="97" customWidth="1"/>
    <col min="1535" max="1535" width="13.42578125" style="97" customWidth="1"/>
    <col min="1536" max="1539" width="9.140625" style="97"/>
    <col min="1540" max="1540" width="15.28515625" style="97" customWidth="1"/>
    <col min="1541" max="1541" width="9.28515625" style="97" bestFit="1" customWidth="1"/>
    <col min="1542" max="1542" width="9.140625" style="97"/>
    <col min="1543" max="1543" width="12.7109375" style="97" customWidth="1"/>
    <col min="1544" max="1782" width="9.140625" style="97"/>
    <col min="1783" max="1783" width="15.42578125" style="97" customWidth="1"/>
    <col min="1784" max="1784" width="14.42578125" style="97" customWidth="1"/>
    <col min="1785" max="1786" width="11" style="97" customWidth="1"/>
    <col min="1787" max="1787" width="15" style="97" customWidth="1"/>
    <col min="1788" max="1788" width="11" style="97" customWidth="1"/>
    <col min="1789" max="1789" width="12.7109375" style="97" customWidth="1"/>
    <col min="1790" max="1790" width="12.85546875" style="97" customWidth="1"/>
    <col min="1791" max="1791" width="13.42578125" style="97" customWidth="1"/>
    <col min="1792" max="1795" width="9.140625" style="97"/>
    <col min="1796" max="1796" width="15.28515625" style="97" customWidth="1"/>
    <col min="1797" max="1797" width="9.28515625" style="97" bestFit="1" customWidth="1"/>
    <col min="1798" max="1798" width="9.140625" style="97"/>
    <col min="1799" max="1799" width="12.7109375" style="97" customWidth="1"/>
    <col min="1800" max="2038" width="9.140625" style="97"/>
    <col min="2039" max="2039" width="15.42578125" style="97" customWidth="1"/>
    <col min="2040" max="2040" width="14.42578125" style="97" customWidth="1"/>
    <col min="2041" max="2042" width="11" style="97" customWidth="1"/>
    <col min="2043" max="2043" width="15" style="97" customWidth="1"/>
    <col min="2044" max="2044" width="11" style="97" customWidth="1"/>
    <col min="2045" max="2045" width="12.7109375" style="97" customWidth="1"/>
    <col min="2046" max="2046" width="12.85546875" style="97" customWidth="1"/>
    <col min="2047" max="2047" width="13.42578125" style="97" customWidth="1"/>
    <col min="2048" max="2051" width="9.140625" style="97"/>
    <col min="2052" max="2052" width="15.28515625" style="97" customWidth="1"/>
    <col min="2053" max="2053" width="9.28515625" style="97" bestFit="1" customWidth="1"/>
    <col min="2054" max="2054" width="9.140625" style="97"/>
    <col min="2055" max="2055" width="12.7109375" style="97" customWidth="1"/>
    <col min="2056" max="2294" width="9.140625" style="97"/>
    <col min="2295" max="2295" width="15.42578125" style="97" customWidth="1"/>
    <col min="2296" max="2296" width="14.42578125" style="97" customWidth="1"/>
    <col min="2297" max="2298" width="11" style="97" customWidth="1"/>
    <col min="2299" max="2299" width="15" style="97" customWidth="1"/>
    <col min="2300" max="2300" width="11" style="97" customWidth="1"/>
    <col min="2301" max="2301" width="12.7109375" style="97" customWidth="1"/>
    <col min="2302" max="2302" width="12.85546875" style="97" customWidth="1"/>
    <col min="2303" max="2303" width="13.42578125" style="97" customWidth="1"/>
    <col min="2304" max="2307" width="9.140625" style="97"/>
    <col min="2308" max="2308" width="15.28515625" style="97" customWidth="1"/>
    <col min="2309" max="2309" width="9.28515625" style="97" bestFit="1" customWidth="1"/>
    <col min="2310" max="2310" width="9.140625" style="97"/>
    <col min="2311" max="2311" width="12.7109375" style="97" customWidth="1"/>
    <col min="2312" max="2550" width="9.140625" style="97"/>
    <col min="2551" max="2551" width="15.42578125" style="97" customWidth="1"/>
    <col min="2552" max="2552" width="14.42578125" style="97" customWidth="1"/>
    <col min="2553" max="2554" width="11" style="97" customWidth="1"/>
    <col min="2555" max="2555" width="15" style="97" customWidth="1"/>
    <col min="2556" max="2556" width="11" style="97" customWidth="1"/>
    <col min="2557" max="2557" width="12.7109375" style="97" customWidth="1"/>
    <col min="2558" max="2558" width="12.85546875" style="97" customWidth="1"/>
    <col min="2559" max="2559" width="13.42578125" style="97" customWidth="1"/>
    <col min="2560" max="2563" width="9.140625" style="97"/>
    <col min="2564" max="2564" width="15.28515625" style="97" customWidth="1"/>
    <col min="2565" max="2565" width="9.28515625" style="97" bestFit="1" customWidth="1"/>
    <col min="2566" max="2566" width="9.140625" style="97"/>
    <col min="2567" max="2567" width="12.7109375" style="97" customWidth="1"/>
    <col min="2568" max="2806" width="9.140625" style="97"/>
    <col min="2807" max="2807" width="15.42578125" style="97" customWidth="1"/>
    <col min="2808" max="2808" width="14.42578125" style="97" customWidth="1"/>
    <col min="2809" max="2810" width="11" style="97" customWidth="1"/>
    <col min="2811" max="2811" width="15" style="97" customWidth="1"/>
    <col min="2812" max="2812" width="11" style="97" customWidth="1"/>
    <col min="2813" max="2813" width="12.7109375" style="97" customWidth="1"/>
    <col min="2814" max="2814" width="12.85546875" style="97" customWidth="1"/>
    <col min="2815" max="2815" width="13.42578125" style="97" customWidth="1"/>
    <col min="2816" max="2819" width="9.140625" style="97"/>
    <col min="2820" max="2820" width="15.28515625" style="97" customWidth="1"/>
    <col min="2821" max="2821" width="9.28515625" style="97" bestFit="1" customWidth="1"/>
    <col min="2822" max="2822" width="9.140625" style="97"/>
    <col min="2823" max="2823" width="12.7109375" style="97" customWidth="1"/>
    <col min="2824" max="3062" width="9.140625" style="97"/>
    <col min="3063" max="3063" width="15.42578125" style="97" customWidth="1"/>
    <col min="3064" max="3064" width="14.42578125" style="97" customWidth="1"/>
    <col min="3065" max="3066" width="11" style="97" customWidth="1"/>
    <col min="3067" max="3067" width="15" style="97" customWidth="1"/>
    <col min="3068" max="3068" width="11" style="97" customWidth="1"/>
    <col min="3069" max="3069" width="12.7109375" style="97" customWidth="1"/>
    <col min="3070" max="3070" width="12.85546875" style="97" customWidth="1"/>
    <col min="3071" max="3071" width="13.42578125" style="97" customWidth="1"/>
    <col min="3072" max="3075" width="9.140625" style="97"/>
    <col min="3076" max="3076" width="15.28515625" style="97" customWidth="1"/>
    <col min="3077" max="3077" width="9.28515625" style="97" bestFit="1" customWidth="1"/>
    <col min="3078" max="3078" width="9.140625" style="97"/>
    <col min="3079" max="3079" width="12.7109375" style="97" customWidth="1"/>
    <col min="3080" max="3318" width="9.140625" style="97"/>
    <col min="3319" max="3319" width="15.42578125" style="97" customWidth="1"/>
    <col min="3320" max="3320" width="14.42578125" style="97" customWidth="1"/>
    <col min="3321" max="3322" width="11" style="97" customWidth="1"/>
    <col min="3323" max="3323" width="15" style="97" customWidth="1"/>
    <col min="3324" max="3324" width="11" style="97" customWidth="1"/>
    <col min="3325" max="3325" width="12.7109375" style="97" customWidth="1"/>
    <col min="3326" max="3326" width="12.85546875" style="97" customWidth="1"/>
    <col min="3327" max="3327" width="13.42578125" style="97" customWidth="1"/>
    <col min="3328" max="3331" width="9.140625" style="97"/>
    <col min="3332" max="3332" width="15.28515625" style="97" customWidth="1"/>
    <col min="3333" max="3333" width="9.28515625" style="97" bestFit="1" customWidth="1"/>
    <col min="3334" max="3334" width="9.140625" style="97"/>
    <col min="3335" max="3335" width="12.7109375" style="97" customWidth="1"/>
    <col min="3336" max="3574" width="9.140625" style="97"/>
    <col min="3575" max="3575" width="15.42578125" style="97" customWidth="1"/>
    <col min="3576" max="3576" width="14.42578125" style="97" customWidth="1"/>
    <col min="3577" max="3578" width="11" style="97" customWidth="1"/>
    <col min="3579" max="3579" width="15" style="97" customWidth="1"/>
    <col min="3580" max="3580" width="11" style="97" customWidth="1"/>
    <col min="3581" max="3581" width="12.7109375" style="97" customWidth="1"/>
    <col min="3582" max="3582" width="12.85546875" style="97" customWidth="1"/>
    <col min="3583" max="3583" width="13.42578125" style="97" customWidth="1"/>
    <col min="3584" max="3587" width="9.140625" style="97"/>
    <col min="3588" max="3588" width="15.28515625" style="97" customWidth="1"/>
    <col min="3589" max="3589" width="9.28515625" style="97" bestFit="1" customWidth="1"/>
    <col min="3590" max="3590" width="9.140625" style="97"/>
    <col min="3591" max="3591" width="12.7109375" style="97" customWidth="1"/>
    <col min="3592" max="3830" width="9.140625" style="97"/>
    <col min="3831" max="3831" width="15.42578125" style="97" customWidth="1"/>
    <col min="3832" max="3832" width="14.42578125" style="97" customWidth="1"/>
    <col min="3833" max="3834" width="11" style="97" customWidth="1"/>
    <col min="3835" max="3835" width="15" style="97" customWidth="1"/>
    <col min="3836" max="3836" width="11" style="97" customWidth="1"/>
    <col min="3837" max="3837" width="12.7109375" style="97" customWidth="1"/>
    <col min="3838" max="3838" width="12.85546875" style="97" customWidth="1"/>
    <col min="3839" max="3839" width="13.42578125" style="97" customWidth="1"/>
    <col min="3840" max="3843" width="9.140625" style="97"/>
    <col min="3844" max="3844" width="15.28515625" style="97" customWidth="1"/>
    <col min="3845" max="3845" width="9.28515625" style="97" bestFit="1" customWidth="1"/>
    <col min="3846" max="3846" width="9.140625" style="97"/>
    <col min="3847" max="3847" width="12.7109375" style="97" customWidth="1"/>
    <col min="3848" max="4086" width="9.140625" style="97"/>
    <col min="4087" max="4087" width="15.42578125" style="97" customWidth="1"/>
    <col min="4088" max="4088" width="14.42578125" style="97" customWidth="1"/>
    <col min="4089" max="4090" width="11" style="97" customWidth="1"/>
    <col min="4091" max="4091" width="15" style="97" customWidth="1"/>
    <col min="4092" max="4092" width="11" style="97" customWidth="1"/>
    <col min="4093" max="4093" width="12.7109375" style="97" customWidth="1"/>
    <col min="4094" max="4094" width="12.85546875" style="97" customWidth="1"/>
    <col min="4095" max="4095" width="13.42578125" style="97" customWidth="1"/>
    <col min="4096" max="4099" width="9.140625" style="97"/>
    <col min="4100" max="4100" width="15.28515625" style="97" customWidth="1"/>
    <col min="4101" max="4101" width="9.28515625" style="97" bestFit="1" customWidth="1"/>
    <col min="4102" max="4102" width="9.140625" style="97"/>
    <col min="4103" max="4103" width="12.7109375" style="97" customWidth="1"/>
    <col min="4104" max="4342" width="9.140625" style="97"/>
    <col min="4343" max="4343" width="15.42578125" style="97" customWidth="1"/>
    <col min="4344" max="4344" width="14.42578125" style="97" customWidth="1"/>
    <col min="4345" max="4346" width="11" style="97" customWidth="1"/>
    <col min="4347" max="4347" width="15" style="97" customWidth="1"/>
    <col min="4348" max="4348" width="11" style="97" customWidth="1"/>
    <col min="4349" max="4349" width="12.7109375" style="97" customWidth="1"/>
    <col min="4350" max="4350" width="12.85546875" style="97" customWidth="1"/>
    <col min="4351" max="4351" width="13.42578125" style="97" customWidth="1"/>
    <col min="4352" max="4355" width="9.140625" style="97"/>
    <col min="4356" max="4356" width="15.28515625" style="97" customWidth="1"/>
    <col min="4357" max="4357" width="9.28515625" style="97" bestFit="1" customWidth="1"/>
    <col min="4358" max="4358" width="9.140625" style="97"/>
    <col min="4359" max="4359" width="12.7109375" style="97" customWidth="1"/>
    <col min="4360" max="4598" width="9.140625" style="97"/>
    <col min="4599" max="4599" width="15.42578125" style="97" customWidth="1"/>
    <col min="4600" max="4600" width="14.42578125" style="97" customWidth="1"/>
    <col min="4601" max="4602" width="11" style="97" customWidth="1"/>
    <col min="4603" max="4603" width="15" style="97" customWidth="1"/>
    <col min="4604" max="4604" width="11" style="97" customWidth="1"/>
    <col min="4605" max="4605" width="12.7109375" style="97" customWidth="1"/>
    <col min="4606" max="4606" width="12.85546875" style="97" customWidth="1"/>
    <col min="4607" max="4607" width="13.42578125" style="97" customWidth="1"/>
    <col min="4608" max="4611" width="9.140625" style="97"/>
    <col min="4612" max="4612" width="15.28515625" style="97" customWidth="1"/>
    <col min="4613" max="4613" width="9.28515625" style="97" bestFit="1" customWidth="1"/>
    <col min="4614" max="4614" width="9.140625" style="97"/>
    <col min="4615" max="4615" width="12.7109375" style="97" customWidth="1"/>
    <col min="4616" max="4854" width="9.140625" style="97"/>
    <col min="4855" max="4855" width="15.42578125" style="97" customWidth="1"/>
    <col min="4856" max="4856" width="14.42578125" style="97" customWidth="1"/>
    <col min="4857" max="4858" width="11" style="97" customWidth="1"/>
    <col min="4859" max="4859" width="15" style="97" customWidth="1"/>
    <col min="4860" max="4860" width="11" style="97" customWidth="1"/>
    <col min="4861" max="4861" width="12.7109375" style="97" customWidth="1"/>
    <col min="4862" max="4862" width="12.85546875" style="97" customWidth="1"/>
    <col min="4863" max="4863" width="13.42578125" style="97" customWidth="1"/>
    <col min="4864" max="4867" width="9.140625" style="97"/>
    <col min="4868" max="4868" width="15.28515625" style="97" customWidth="1"/>
    <col min="4869" max="4869" width="9.28515625" style="97" bestFit="1" customWidth="1"/>
    <col min="4870" max="4870" width="9.140625" style="97"/>
    <col min="4871" max="4871" width="12.7109375" style="97" customWidth="1"/>
    <col min="4872" max="5110" width="9.140625" style="97"/>
    <col min="5111" max="5111" width="15.42578125" style="97" customWidth="1"/>
    <col min="5112" max="5112" width="14.42578125" style="97" customWidth="1"/>
    <col min="5113" max="5114" width="11" style="97" customWidth="1"/>
    <col min="5115" max="5115" width="15" style="97" customWidth="1"/>
    <col min="5116" max="5116" width="11" style="97" customWidth="1"/>
    <col min="5117" max="5117" width="12.7109375" style="97" customWidth="1"/>
    <col min="5118" max="5118" width="12.85546875" style="97" customWidth="1"/>
    <col min="5119" max="5119" width="13.42578125" style="97" customWidth="1"/>
    <col min="5120" max="5123" width="9.140625" style="97"/>
    <col min="5124" max="5124" width="15.28515625" style="97" customWidth="1"/>
    <col min="5125" max="5125" width="9.28515625" style="97" bestFit="1" customWidth="1"/>
    <col min="5126" max="5126" width="9.140625" style="97"/>
    <col min="5127" max="5127" width="12.7109375" style="97" customWidth="1"/>
    <col min="5128" max="5366" width="9.140625" style="97"/>
    <col min="5367" max="5367" width="15.42578125" style="97" customWidth="1"/>
    <col min="5368" max="5368" width="14.42578125" style="97" customWidth="1"/>
    <col min="5369" max="5370" width="11" style="97" customWidth="1"/>
    <col min="5371" max="5371" width="15" style="97" customWidth="1"/>
    <col min="5372" max="5372" width="11" style="97" customWidth="1"/>
    <col min="5373" max="5373" width="12.7109375" style="97" customWidth="1"/>
    <col min="5374" max="5374" width="12.85546875" style="97" customWidth="1"/>
    <col min="5375" max="5375" width="13.42578125" style="97" customWidth="1"/>
    <col min="5376" max="5379" width="9.140625" style="97"/>
    <col min="5380" max="5380" width="15.28515625" style="97" customWidth="1"/>
    <col min="5381" max="5381" width="9.28515625" style="97" bestFit="1" customWidth="1"/>
    <col min="5382" max="5382" width="9.140625" style="97"/>
    <col min="5383" max="5383" width="12.7109375" style="97" customWidth="1"/>
    <col min="5384" max="5622" width="9.140625" style="97"/>
    <col min="5623" max="5623" width="15.42578125" style="97" customWidth="1"/>
    <col min="5624" max="5624" width="14.42578125" style="97" customWidth="1"/>
    <col min="5625" max="5626" width="11" style="97" customWidth="1"/>
    <col min="5627" max="5627" width="15" style="97" customWidth="1"/>
    <col min="5628" max="5628" width="11" style="97" customWidth="1"/>
    <col min="5629" max="5629" width="12.7109375" style="97" customWidth="1"/>
    <col min="5630" max="5630" width="12.85546875" style="97" customWidth="1"/>
    <col min="5631" max="5631" width="13.42578125" style="97" customWidth="1"/>
    <col min="5632" max="5635" width="9.140625" style="97"/>
    <col min="5636" max="5636" width="15.28515625" style="97" customWidth="1"/>
    <col min="5637" max="5637" width="9.28515625" style="97" bestFit="1" customWidth="1"/>
    <col min="5638" max="5638" width="9.140625" style="97"/>
    <col min="5639" max="5639" width="12.7109375" style="97" customWidth="1"/>
    <col min="5640" max="5878" width="9.140625" style="97"/>
    <col min="5879" max="5879" width="15.42578125" style="97" customWidth="1"/>
    <col min="5880" max="5880" width="14.42578125" style="97" customWidth="1"/>
    <col min="5881" max="5882" width="11" style="97" customWidth="1"/>
    <col min="5883" max="5883" width="15" style="97" customWidth="1"/>
    <col min="5884" max="5884" width="11" style="97" customWidth="1"/>
    <col min="5885" max="5885" width="12.7109375" style="97" customWidth="1"/>
    <col min="5886" max="5886" width="12.85546875" style="97" customWidth="1"/>
    <col min="5887" max="5887" width="13.42578125" style="97" customWidth="1"/>
    <col min="5888" max="5891" width="9.140625" style="97"/>
    <col min="5892" max="5892" width="15.28515625" style="97" customWidth="1"/>
    <col min="5893" max="5893" width="9.28515625" style="97" bestFit="1" customWidth="1"/>
    <col min="5894" max="5894" width="9.140625" style="97"/>
    <col min="5895" max="5895" width="12.7109375" style="97" customWidth="1"/>
    <col min="5896" max="6134" width="9.140625" style="97"/>
    <col min="6135" max="6135" width="15.42578125" style="97" customWidth="1"/>
    <col min="6136" max="6136" width="14.42578125" style="97" customWidth="1"/>
    <col min="6137" max="6138" width="11" style="97" customWidth="1"/>
    <col min="6139" max="6139" width="15" style="97" customWidth="1"/>
    <col min="6140" max="6140" width="11" style="97" customWidth="1"/>
    <col min="6141" max="6141" width="12.7109375" style="97" customWidth="1"/>
    <col min="6142" max="6142" width="12.85546875" style="97" customWidth="1"/>
    <col min="6143" max="6143" width="13.42578125" style="97" customWidth="1"/>
    <col min="6144" max="6147" width="9.140625" style="97"/>
    <col min="6148" max="6148" width="15.28515625" style="97" customWidth="1"/>
    <col min="6149" max="6149" width="9.28515625" style="97" bestFit="1" customWidth="1"/>
    <col min="6150" max="6150" width="9.140625" style="97"/>
    <col min="6151" max="6151" width="12.7109375" style="97" customWidth="1"/>
    <col min="6152" max="6390" width="9.140625" style="97"/>
    <col min="6391" max="6391" width="15.42578125" style="97" customWidth="1"/>
    <col min="6392" max="6392" width="14.42578125" style="97" customWidth="1"/>
    <col min="6393" max="6394" width="11" style="97" customWidth="1"/>
    <col min="6395" max="6395" width="15" style="97" customWidth="1"/>
    <col min="6396" max="6396" width="11" style="97" customWidth="1"/>
    <col min="6397" max="6397" width="12.7109375" style="97" customWidth="1"/>
    <col min="6398" max="6398" width="12.85546875" style="97" customWidth="1"/>
    <col min="6399" max="6399" width="13.42578125" style="97" customWidth="1"/>
    <col min="6400" max="6403" width="9.140625" style="97"/>
    <col min="6404" max="6404" width="15.28515625" style="97" customWidth="1"/>
    <col min="6405" max="6405" width="9.28515625" style="97" bestFit="1" customWidth="1"/>
    <col min="6406" max="6406" width="9.140625" style="97"/>
    <col min="6407" max="6407" width="12.7109375" style="97" customWidth="1"/>
    <col min="6408" max="6646" width="9.140625" style="97"/>
    <col min="6647" max="6647" width="15.42578125" style="97" customWidth="1"/>
    <col min="6648" max="6648" width="14.42578125" style="97" customWidth="1"/>
    <col min="6649" max="6650" width="11" style="97" customWidth="1"/>
    <col min="6651" max="6651" width="15" style="97" customWidth="1"/>
    <col min="6652" max="6652" width="11" style="97" customWidth="1"/>
    <col min="6653" max="6653" width="12.7109375" style="97" customWidth="1"/>
    <col min="6654" max="6654" width="12.85546875" style="97" customWidth="1"/>
    <col min="6655" max="6655" width="13.42578125" style="97" customWidth="1"/>
    <col min="6656" max="6659" width="9.140625" style="97"/>
    <col min="6660" max="6660" width="15.28515625" style="97" customWidth="1"/>
    <col min="6661" max="6661" width="9.28515625" style="97" bestFit="1" customWidth="1"/>
    <col min="6662" max="6662" width="9.140625" style="97"/>
    <col min="6663" max="6663" width="12.7109375" style="97" customWidth="1"/>
    <col min="6664" max="6902" width="9.140625" style="97"/>
    <col min="6903" max="6903" width="15.42578125" style="97" customWidth="1"/>
    <col min="6904" max="6904" width="14.42578125" style="97" customWidth="1"/>
    <col min="6905" max="6906" width="11" style="97" customWidth="1"/>
    <col min="6907" max="6907" width="15" style="97" customWidth="1"/>
    <col min="6908" max="6908" width="11" style="97" customWidth="1"/>
    <col min="6909" max="6909" width="12.7109375" style="97" customWidth="1"/>
    <col min="6910" max="6910" width="12.85546875" style="97" customWidth="1"/>
    <col min="6911" max="6911" width="13.42578125" style="97" customWidth="1"/>
    <col min="6912" max="6915" width="9.140625" style="97"/>
    <col min="6916" max="6916" width="15.28515625" style="97" customWidth="1"/>
    <col min="6917" max="6917" width="9.28515625" style="97" bestFit="1" customWidth="1"/>
    <col min="6918" max="6918" width="9.140625" style="97"/>
    <col min="6919" max="6919" width="12.7109375" style="97" customWidth="1"/>
    <col min="6920" max="7158" width="9.140625" style="97"/>
    <col min="7159" max="7159" width="15.42578125" style="97" customWidth="1"/>
    <col min="7160" max="7160" width="14.42578125" style="97" customWidth="1"/>
    <col min="7161" max="7162" width="11" style="97" customWidth="1"/>
    <col min="7163" max="7163" width="15" style="97" customWidth="1"/>
    <col min="7164" max="7164" width="11" style="97" customWidth="1"/>
    <col min="7165" max="7165" width="12.7109375" style="97" customWidth="1"/>
    <col min="7166" max="7166" width="12.85546875" style="97" customWidth="1"/>
    <col min="7167" max="7167" width="13.42578125" style="97" customWidth="1"/>
    <col min="7168" max="7171" width="9.140625" style="97"/>
    <col min="7172" max="7172" width="15.28515625" style="97" customWidth="1"/>
    <col min="7173" max="7173" width="9.28515625" style="97" bestFit="1" customWidth="1"/>
    <col min="7174" max="7174" width="9.140625" style="97"/>
    <col min="7175" max="7175" width="12.7109375" style="97" customWidth="1"/>
    <col min="7176" max="7414" width="9.140625" style="97"/>
    <col min="7415" max="7415" width="15.42578125" style="97" customWidth="1"/>
    <col min="7416" max="7416" width="14.42578125" style="97" customWidth="1"/>
    <col min="7417" max="7418" width="11" style="97" customWidth="1"/>
    <col min="7419" max="7419" width="15" style="97" customWidth="1"/>
    <col min="7420" max="7420" width="11" style="97" customWidth="1"/>
    <col min="7421" max="7421" width="12.7109375" style="97" customWidth="1"/>
    <col min="7422" max="7422" width="12.85546875" style="97" customWidth="1"/>
    <col min="7423" max="7423" width="13.42578125" style="97" customWidth="1"/>
    <col min="7424" max="7427" width="9.140625" style="97"/>
    <col min="7428" max="7428" width="15.28515625" style="97" customWidth="1"/>
    <col min="7429" max="7429" width="9.28515625" style="97" bestFit="1" customWidth="1"/>
    <col min="7430" max="7430" width="9.140625" style="97"/>
    <col min="7431" max="7431" width="12.7109375" style="97" customWidth="1"/>
    <col min="7432" max="7670" width="9.140625" style="97"/>
    <col min="7671" max="7671" width="15.42578125" style="97" customWidth="1"/>
    <col min="7672" max="7672" width="14.42578125" style="97" customWidth="1"/>
    <col min="7673" max="7674" width="11" style="97" customWidth="1"/>
    <col min="7675" max="7675" width="15" style="97" customWidth="1"/>
    <col min="7676" max="7676" width="11" style="97" customWidth="1"/>
    <col min="7677" max="7677" width="12.7109375" style="97" customWidth="1"/>
    <col min="7678" max="7678" width="12.85546875" style="97" customWidth="1"/>
    <col min="7679" max="7679" width="13.42578125" style="97" customWidth="1"/>
    <col min="7680" max="7683" width="9.140625" style="97"/>
    <col min="7684" max="7684" width="15.28515625" style="97" customWidth="1"/>
    <col min="7685" max="7685" width="9.28515625" style="97" bestFit="1" customWidth="1"/>
    <col min="7686" max="7686" width="9.140625" style="97"/>
    <col min="7687" max="7687" width="12.7109375" style="97" customWidth="1"/>
    <col min="7688" max="7926" width="9.140625" style="97"/>
    <col min="7927" max="7927" width="15.42578125" style="97" customWidth="1"/>
    <col min="7928" max="7928" width="14.42578125" style="97" customWidth="1"/>
    <col min="7929" max="7930" width="11" style="97" customWidth="1"/>
    <col min="7931" max="7931" width="15" style="97" customWidth="1"/>
    <col min="7932" max="7932" width="11" style="97" customWidth="1"/>
    <col min="7933" max="7933" width="12.7109375" style="97" customWidth="1"/>
    <col min="7934" max="7934" width="12.85546875" style="97" customWidth="1"/>
    <col min="7935" max="7935" width="13.42578125" style="97" customWidth="1"/>
    <col min="7936" max="7939" width="9.140625" style="97"/>
    <col min="7940" max="7940" width="15.28515625" style="97" customWidth="1"/>
    <col min="7941" max="7941" width="9.28515625" style="97" bestFit="1" customWidth="1"/>
    <col min="7942" max="7942" width="9.140625" style="97"/>
    <col min="7943" max="7943" width="12.7109375" style="97" customWidth="1"/>
    <col min="7944" max="8182" width="9.140625" style="97"/>
    <col min="8183" max="8183" width="15.42578125" style="97" customWidth="1"/>
    <col min="8184" max="8184" width="14.42578125" style="97" customWidth="1"/>
    <col min="8185" max="8186" width="11" style="97" customWidth="1"/>
    <col min="8187" max="8187" width="15" style="97" customWidth="1"/>
    <col min="8188" max="8188" width="11" style="97" customWidth="1"/>
    <col min="8189" max="8189" width="12.7109375" style="97" customWidth="1"/>
    <col min="8190" max="8190" width="12.85546875" style="97" customWidth="1"/>
    <col min="8191" max="8191" width="13.42578125" style="97" customWidth="1"/>
    <col min="8192" max="8195" width="9.140625" style="97"/>
    <col min="8196" max="8196" width="15.28515625" style="97" customWidth="1"/>
    <col min="8197" max="8197" width="9.28515625" style="97" bestFit="1" customWidth="1"/>
    <col min="8198" max="8198" width="9.140625" style="97"/>
    <col min="8199" max="8199" width="12.7109375" style="97" customWidth="1"/>
    <col min="8200" max="8438" width="9.140625" style="97"/>
    <col min="8439" max="8439" width="15.42578125" style="97" customWidth="1"/>
    <col min="8440" max="8440" width="14.42578125" style="97" customWidth="1"/>
    <col min="8441" max="8442" width="11" style="97" customWidth="1"/>
    <col min="8443" max="8443" width="15" style="97" customWidth="1"/>
    <col min="8444" max="8444" width="11" style="97" customWidth="1"/>
    <col min="8445" max="8445" width="12.7109375" style="97" customWidth="1"/>
    <col min="8446" max="8446" width="12.85546875" style="97" customWidth="1"/>
    <col min="8447" max="8447" width="13.42578125" style="97" customWidth="1"/>
    <col min="8448" max="8451" width="9.140625" style="97"/>
    <col min="8452" max="8452" width="15.28515625" style="97" customWidth="1"/>
    <col min="8453" max="8453" width="9.28515625" style="97" bestFit="1" customWidth="1"/>
    <col min="8454" max="8454" width="9.140625" style="97"/>
    <col min="8455" max="8455" width="12.7109375" style="97" customWidth="1"/>
    <col min="8456" max="8694" width="9.140625" style="97"/>
    <col min="8695" max="8695" width="15.42578125" style="97" customWidth="1"/>
    <col min="8696" max="8696" width="14.42578125" style="97" customWidth="1"/>
    <col min="8697" max="8698" width="11" style="97" customWidth="1"/>
    <col min="8699" max="8699" width="15" style="97" customWidth="1"/>
    <col min="8700" max="8700" width="11" style="97" customWidth="1"/>
    <col min="8701" max="8701" width="12.7109375" style="97" customWidth="1"/>
    <col min="8702" max="8702" width="12.85546875" style="97" customWidth="1"/>
    <col min="8703" max="8703" width="13.42578125" style="97" customWidth="1"/>
    <col min="8704" max="8707" width="9.140625" style="97"/>
    <col min="8708" max="8708" width="15.28515625" style="97" customWidth="1"/>
    <col min="8709" max="8709" width="9.28515625" style="97" bestFit="1" customWidth="1"/>
    <col min="8710" max="8710" width="9.140625" style="97"/>
    <col min="8711" max="8711" width="12.7109375" style="97" customWidth="1"/>
    <col min="8712" max="8950" width="9.140625" style="97"/>
    <col min="8951" max="8951" width="15.42578125" style="97" customWidth="1"/>
    <col min="8952" max="8952" width="14.42578125" style="97" customWidth="1"/>
    <col min="8953" max="8954" width="11" style="97" customWidth="1"/>
    <col min="8955" max="8955" width="15" style="97" customWidth="1"/>
    <col min="8956" max="8956" width="11" style="97" customWidth="1"/>
    <col min="8957" max="8957" width="12.7109375" style="97" customWidth="1"/>
    <col min="8958" max="8958" width="12.85546875" style="97" customWidth="1"/>
    <col min="8959" max="8959" width="13.42578125" style="97" customWidth="1"/>
    <col min="8960" max="8963" width="9.140625" style="97"/>
    <col min="8964" max="8964" width="15.28515625" style="97" customWidth="1"/>
    <col min="8965" max="8965" width="9.28515625" style="97" bestFit="1" customWidth="1"/>
    <col min="8966" max="8966" width="9.140625" style="97"/>
    <col min="8967" max="8967" width="12.7109375" style="97" customWidth="1"/>
    <col min="8968" max="9206" width="9.140625" style="97"/>
    <col min="9207" max="9207" width="15.42578125" style="97" customWidth="1"/>
    <col min="9208" max="9208" width="14.42578125" style="97" customWidth="1"/>
    <col min="9209" max="9210" width="11" style="97" customWidth="1"/>
    <col min="9211" max="9211" width="15" style="97" customWidth="1"/>
    <col min="9212" max="9212" width="11" style="97" customWidth="1"/>
    <col min="9213" max="9213" width="12.7109375" style="97" customWidth="1"/>
    <col min="9214" max="9214" width="12.85546875" style="97" customWidth="1"/>
    <col min="9215" max="9215" width="13.42578125" style="97" customWidth="1"/>
    <col min="9216" max="9219" width="9.140625" style="97"/>
    <col min="9220" max="9220" width="15.28515625" style="97" customWidth="1"/>
    <col min="9221" max="9221" width="9.28515625" style="97" bestFit="1" customWidth="1"/>
    <col min="9222" max="9222" width="9.140625" style="97"/>
    <col min="9223" max="9223" width="12.7109375" style="97" customWidth="1"/>
    <col min="9224" max="9462" width="9.140625" style="97"/>
    <col min="9463" max="9463" width="15.42578125" style="97" customWidth="1"/>
    <col min="9464" max="9464" width="14.42578125" style="97" customWidth="1"/>
    <col min="9465" max="9466" width="11" style="97" customWidth="1"/>
    <col min="9467" max="9467" width="15" style="97" customWidth="1"/>
    <col min="9468" max="9468" width="11" style="97" customWidth="1"/>
    <col min="9469" max="9469" width="12.7109375" style="97" customWidth="1"/>
    <col min="9470" max="9470" width="12.85546875" style="97" customWidth="1"/>
    <col min="9471" max="9471" width="13.42578125" style="97" customWidth="1"/>
    <col min="9472" max="9475" width="9.140625" style="97"/>
    <col min="9476" max="9476" width="15.28515625" style="97" customWidth="1"/>
    <col min="9477" max="9477" width="9.28515625" style="97" bestFit="1" customWidth="1"/>
    <col min="9478" max="9478" width="9.140625" style="97"/>
    <col min="9479" max="9479" width="12.7109375" style="97" customWidth="1"/>
    <col min="9480" max="9718" width="9.140625" style="97"/>
    <col min="9719" max="9719" width="15.42578125" style="97" customWidth="1"/>
    <col min="9720" max="9720" width="14.42578125" style="97" customWidth="1"/>
    <col min="9721" max="9722" width="11" style="97" customWidth="1"/>
    <col min="9723" max="9723" width="15" style="97" customWidth="1"/>
    <col min="9724" max="9724" width="11" style="97" customWidth="1"/>
    <col min="9725" max="9725" width="12.7109375" style="97" customWidth="1"/>
    <col min="9726" max="9726" width="12.85546875" style="97" customWidth="1"/>
    <col min="9727" max="9727" width="13.42578125" style="97" customWidth="1"/>
    <col min="9728" max="9731" width="9.140625" style="97"/>
    <col min="9732" max="9732" width="15.28515625" style="97" customWidth="1"/>
    <col min="9733" max="9733" width="9.28515625" style="97" bestFit="1" customWidth="1"/>
    <col min="9734" max="9734" width="9.140625" style="97"/>
    <col min="9735" max="9735" width="12.7109375" style="97" customWidth="1"/>
    <col min="9736" max="9974" width="9.140625" style="97"/>
    <col min="9975" max="9975" width="15.42578125" style="97" customWidth="1"/>
    <col min="9976" max="9976" width="14.42578125" style="97" customWidth="1"/>
    <col min="9977" max="9978" width="11" style="97" customWidth="1"/>
    <col min="9979" max="9979" width="15" style="97" customWidth="1"/>
    <col min="9980" max="9980" width="11" style="97" customWidth="1"/>
    <col min="9981" max="9981" width="12.7109375" style="97" customWidth="1"/>
    <col min="9982" max="9982" width="12.85546875" style="97" customWidth="1"/>
    <col min="9983" max="9983" width="13.42578125" style="97" customWidth="1"/>
    <col min="9984" max="9987" width="9.140625" style="97"/>
    <col min="9988" max="9988" width="15.28515625" style="97" customWidth="1"/>
    <col min="9989" max="9989" width="9.28515625" style="97" bestFit="1" customWidth="1"/>
    <col min="9990" max="9990" width="9.140625" style="97"/>
    <col min="9991" max="9991" width="12.7109375" style="97" customWidth="1"/>
    <col min="9992" max="10230" width="9.140625" style="97"/>
    <col min="10231" max="10231" width="15.42578125" style="97" customWidth="1"/>
    <col min="10232" max="10232" width="14.42578125" style="97" customWidth="1"/>
    <col min="10233" max="10234" width="11" style="97" customWidth="1"/>
    <col min="10235" max="10235" width="15" style="97" customWidth="1"/>
    <col min="10236" max="10236" width="11" style="97" customWidth="1"/>
    <col min="10237" max="10237" width="12.7109375" style="97" customWidth="1"/>
    <col min="10238" max="10238" width="12.85546875" style="97" customWidth="1"/>
    <col min="10239" max="10239" width="13.42578125" style="97" customWidth="1"/>
    <col min="10240" max="10243" width="9.140625" style="97"/>
    <col min="10244" max="10244" width="15.28515625" style="97" customWidth="1"/>
    <col min="10245" max="10245" width="9.28515625" style="97" bestFit="1" customWidth="1"/>
    <col min="10246" max="10246" width="9.140625" style="97"/>
    <col min="10247" max="10247" width="12.7109375" style="97" customWidth="1"/>
    <col min="10248" max="10486" width="9.140625" style="97"/>
    <col min="10487" max="10487" width="15.42578125" style="97" customWidth="1"/>
    <col min="10488" max="10488" width="14.42578125" style="97" customWidth="1"/>
    <col min="10489" max="10490" width="11" style="97" customWidth="1"/>
    <col min="10491" max="10491" width="15" style="97" customWidth="1"/>
    <col min="10492" max="10492" width="11" style="97" customWidth="1"/>
    <col min="10493" max="10493" width="12.7109375" style="97" customWidth="1"/>
    <col min="10494" max="10494" width="12.85546875" style="97" customWidth="1"/>
    <col min="10495" max="10495" width="13.42578125" style="97" customWidth="1"/>
    <col min="10496" max="10499" width="9.140625" style="97"/>
    <col min="10500" max="10500" width="15.28515625" style="97" customWidth="1"/>
    <col min="10501" max="10501" width="9.28515625" style="97" bestFit="1" customWidth="1"/>
    <col min="10502" max="10502" width="9.140625" style="97"/>
    <col min="10503" max="10503" width="12.7109375" style="97" customWidth="1"/>
    <col min="10504" max="10742" width="9.140625" style="97"/>
    <col min="10743" max="10743" width="15.42578125" style="97" customWidth="1"/>
    <col min="10744" max="10744" width="14.42578125" style="97" customWidth="1"/>
    <col min="10745" max="10746" width="11" style="97" customWidth="1"/>
    <col min="10747" max="10747" width="15" style="97" customWidth="1"/>
    <col min="10748" max="10748" width="11" style="97" customWidth="1"/>
    <col min="10749" max="10749" width="12.7109375" style="97" customWidth="1"/>
    <col min="10750" max="10750" width="12.85546875" style="97" customWidth="1"/>
    <col min="10751" max="10751" width="13.42578125" style="97" customWidth="1"/>
    <col min="10752" max="10755" width="9.140625" style="97"/>
    <col min="10756" max="10756" width="15.28515625" style="97" customWidth="1"/>
    <col min="10757" max="10757" width="9.28515625" style="97" bestFit="1" customWidth="1"/>
    <col min="10758" max="10758" width="9.140625" style="97"/>
    <col min="10759" max="10759" width="12.7109375" style="97" customWidth="1"/>
    <col min="10760" max="10998" width="9.140625" style="97"/>
    <col min="10999" max="10999" width="15.42578125" style="97" customWidth="1"/>
    <col min="11000" max="11000" width="14.42578125" style="97" customWidth="1"/>
    <col min="11001" max="11002" width="11" style="97" customWidth="1"/>
    <col min="11003" max="11003" width="15" style="97" customWidth="1"/>
    <col min="11004" max="11004" width="11" style="97" customWidth="1"/>
    <col min="11005" max="11005" width="12.7109375" style="97" customWidth="1"/>
    <col min="11006" max="11006" width="12.85546875" style="97" customWidth="1"/>
    <col min="11007" max="11007" width="13.42578125" style="97" customWidth="1"/>
    <col min="11008" max="11011" width="9.140625" style="97"/>
    <col min="11012" max="11012" width="15.28515625" style="97" customWidth="1"/>
    <col min="11013" max="11013" width="9.28515625" style="97" bestFit="1" customWidth="1"/>
    <col min="11014" max="11014" width="9.140625" style="97"/>
    <col min="11015" max="11015" width="12.7109375" style="97" customWidth="1"/>
    <col min="11016" max="11254" width="9.140625" style="97"/>
    <col min="11255" max="11255" width="15.42578125" style="97" customWidth="1"/>
    <col min="11256" max="11256" width="14.42578125" style="97" customWidth="1"/>
    <col min="11257" max="11258" width="11" style="97" customWidth="1"/>
    <col min="11259" max="11259" width="15" style="97" customWidth="1"/>
    <col min="11260" max="11260" width="11" style="97" customWidth="1"/>
    <col min="11261" max="11261" width="12.7109375" style="97" customWidth="1"/>
    <col min="11262" max="11262" width="12.85546875" style="97" customWidth="1"/>
    <col min="11263" max="11263" width="13.42578125" style="97" customWidth="1"/>
    <col min="11264" max="11267" width="9.140625" style="97"/>
    <col min="11268" max="11268" width="15.28515625" style="97" customWidth="1"/>
    <col min="11269" max="11269" width="9.28515625" style="97" bestFit="1" customWidth="1"/>
    <col min="11270" max="11270" width="9.140625" style="97"/>
    <col min="11271" max="11271" width="12.7109375" style="97" customWidth="1"/>
    <col min="11272" max="11510" width="9.140625" style="97"/>
    <col min="11511" max="11511" width="15.42578125" style="97" customWidth="1"/>
    <col min="11512" max="11512" width="14.42578125" style="97" customWidth="1"/>
    <col min="11513" max="11514" width="11" style="97" customWidth="1"/>
    <col min="11515" max="11515" width="15" style="97" customWidth="1"/>
    <col min="11516" max="11516" width="11" style="97" customWidth="1"/>
    <col min="11517" max="11517" width="12.7109375" style="97" customWidth="1"/>
    <col min="11518" max="11518" width="12.85546875" style="97" customWidth="1"/>
    <col min="11519" max="11519" width="13.42578125" style="97" customWidth="1"/>
    <col min="11520" max="11523" width="9.140625" style="97"/>
    <col min="11524" max="11524" width="15.28515625" style="97" customWidth="1"/>
    <col min="11525" max="11525" width="9.28515625" style="97" bestFit="1" customWidth="1"/>
    <col min="11526" max="11526" width="9.140625" style="97"/>
    <col min="11527" max="11527" width="12.7109375" style="97" customWidth="1"/>
    <col min="11528" max="11766" width="9.140625" style="97"/>
    <col min="11767" max="11767" width="15.42578125" style="97" customWidth="1"/>
    <col min="11768" max="11768" width="14.42578125" style="97" customWidth="1"/>
    <col min="11769" max="11770" width="11" style="97" customWidth="1"/>
    <col min="11771" max="11771" width="15" style="97" customWidth="1"/>
    <col min="11772" max="11772" width="11" style="97" customWidth="1"/>
    <col min="11773" max="11773" width="12.7109375" style="97" customWidth="1"/>
    <col min="11774" max="11774" width="12.85546875" style="97" customWidth="1"/>
    <col min="11775" max="11775" width="13.42578125" style="97" customWidth="1"/>
    <col min="11776" max="11779" width="9.140625" style="97"/>
    <col min="11780" max="11780" width="15.28515625" style="97" customWidth="1"/>
    <col min="11781" max="11781" width="9.28515625" style="97" bestFit="1" customWidth="1"/>
    <col min="11782" max="11782" width="9.140625" style="97"/>
    <col min="11783" max="11783" width="12.7109375" style="97" customWidth="1"/>
    <col min="11784" max="12022" width="9.140625" style="97"/>
    <col min="12023" max="12023" width="15.42578125" style="97" customWidth="1"/>
    <col min="12024" max="12024" width="14.42578125" style="97" customWidth="1"/>
    <col min="12025" max="12026" width="11" style="97" customWidth="1"/>
    <col min="12027" max="12027" width="15" style="97" customWidth="1"/>
    <col min="12028" max="12028" width="11" style="97" customWidth="1"/>
    <col min="12029" max="12029" width="12.7109375" style="97" customWidth="1"/>
    <col min="12030" max="12030" width="12.85546875" style="97" customWidth="1"/>
    <col min="12031" max="12031" width="13.42578125" style="97" customWidth="1"/>
    <col min="12032" max="12035" width="9.140625" style="97"/>
    <col min="12036" max="12036" width="15.28515625" style="97" customWidth="1"/>
    <col min="12037" max="12037" width="9.28515625" style="97" bestFit="1" customWidth="1"/>
    <col min="12038" max="12038" width="9.140625" style="97"/>
    <col min="12039" max="12039" width="12.7109375" style="97" customWidth="1"/>
    <col min="12040" max="12278" width="9.140625" style="97"/>
    <col min="12279" max="12279" width="15.42578125" style="97" customWidth="1"/>
    <col min="12280" max="12280" width="14.42578125" style="97" customWidth="1"/>
    <col min="12281" max="12282" width="11" style="97" customWidth="1"/>
    <col min="12283" max="12283" width="15" style="97" customWidth="1"/>
    <col min="12284" max="12284" width="11" style="97" customWidth="1"/>
    <col min="12285" max="12285" width="12.7109375" style="97" customWidth="1"/>
    <col min="12286" max="12286" width="12.85546875" style="97" customWidth="1"/>
    <col min="12287" max="12287" width="13.42578125" style="97" customWidth="1"/>
    <col min="12288" max="12291" width="9.140625" style="97"/>
    <col min="12292" max="12292" width="15.28515625" style="97" customWidth="1"/>
    <col min="12293" max="12293" width="9.28515625" style="97" bestFit="1" customWidth="1"/>
    <col min="12294" max="12294" width="9.140625" style="97"/>
    <col min="12295" max="12295" width="12.7109375" style="97" customWidth="1"/>
    <col min="12296" max="12534" width="9.140625" style="97"/>
    <col min="12535" max="12535" width="15.42578125" style="97" customWidth="1"/>
    <col min="12536" max="12536" width="14.42578125" style="97" customWidth="1"/>
    <col min="12537" max="12538" width="11" style="97" customWidth="1"/>
    <col min="12539" max="12539" width="15" style="97" customWidth="1"/>
    <col min="12540" max="12540" width="11" style="97" customWidth="1"/>
    <col min="12541" max="12541" width="12.7109375" style="97" customWidth="1"/>
    <col min="12542" max="12542" width="12.85546875" style="97" customWidth="1"/>
    <col min="12543" max="12543" width="13.42578125" style="97" customWidth="1"/>
    <col min="12544" max="12547" width="9.140625" style="97"/>
    <col min="12548" max="12548" width="15.28515625" style="97" customWidth="1"/>
    <col min="12549" max="12549" width="9.28515625" style="97" bestFit="1" customWidth="1"/>
    <col min="12550" max="12550" width="9.140625" style="97"/>
    <col min="12551" max="12551" width="12.7109375" style="97" customWidth="1"/>
    <col min="12552" max="12790" width="9.140625" style="97"/>
    <col min="12791" max="12791" width="15.42578125" style="97" customWidth="1"/>
    <col min="12792" max="12792" width="14.42578125" style="97" customWidth="1"/>
    <col min="12793" max="12794" width="11" style="97" customWidth="1"/>
    <col min="12795" max="12795" width="15" style="97" customWidth="1"/>
    <col min="12796" max="12796" width="11" style="97" customWidth="1"/>
    <col min="12797" max="12797" width="12.7109375" style="97" customWidth="1"/>
    <col min="12798" max="12798" width="12.85546875" style="97" customWidth="1"/>
    <col min="12799" max="12799" width="13.42578125" style="97" customWidth="1"/>
    <col min="12800" max="12803" width="9.140625" style="97"/>
    <col min="12804" max="12804" width="15.28515625" style="97" customWidth="1"/>
    <col min="12805" max="12805" width="9.28515625" style="97" bestFit="1" customWidth="1"/>
    <col min="12806" max="12806" width="9.140625" style="97"/>
    <col min="12807" max="12807" width="12.7109375" style="97" customWidth="1"/>
    <col min="12808" max="13046" width="9.140625" style="97"/>
    <col min="13047" max="13047" width="15.42578125" style="97" customWidth="1"/>
    <col min="13048" max="13048" width="14.42578125" style="97" customWidth="1"/>
    <col min="13049" max="13050" width="11" style="97" customWidth="1"/>
    <col min="13051" max="13051" width="15" style="97" customWidth="1"/>
    <col min="13052" max="13052" width="11" style="97" customWidth="1"/>
    <col min="13053" max="13053" width="12.7109375" style="97" customWidth="1"/>
    <col min="13054" max="13054" width="12.85546875" style="97" customWidth="1"/>
    <col min="13055" max="13055" width="13.42578125" style="97" customWidth="1"/>
    <col min="13056" max="13059" width="9.140625" style="97"/>
    <col min="13060" max="13060" width="15.28515625" style="97" customWidth="1"/>
    <col min="13061" max="13061" width="9.28515625" style="97" bestFit="1" customWidth="1"/>
    <col min="13062" max="13062" width="9.140625" style="97"/>
    <col min="13063" max="13063" width="12.7109375" style="97" customWidth="1"/>
    <col min="13064" max="13302" width="9.140625" style="97"/>
    <col min="13303" max="13303" width="15.42578125" style="97" customWidth="1"/>
    <col min="13304" max="13304" width="14.42578125" style="97" customWidth="1"/>
    <col min="13305" max="13306" width="11" style="97" customWidth="1"/>
    <col min="13307" max="13307" width="15" style="97" customWidth="1"/>
    <col min="13308" max="13308" width="11" style="97" customWidth="1"/>
    <col min="13309" max="13309" width="12.7109375" style="97" customWidth="1"/>
    <col min="13310" max="13310" width="12.85546875" style="97" customWidth="1"/>
    <col min="13311" max="13311" width="13.42578125" style="97" customWidth="1"/>
    <col min="13312" max="13315" width="9.140625" style="97"/>
    <col min="13316" max="13316" width="15.28515625" style="97" customWidth="1"/>
    <col min="13317" max="13317" width="9.28515625" style="97" bestFit="1" customWidth="1"/>
    <col min="13318" max="13318" width="9.140625" style="97"/>
    <col min="13319" max="13319" width="12.7109375" style="97" customWidth="1"/>
    <col min="13320" max="13558" width="9.140625" style="97"/>
    <col min="13559" max="13559" width="15.42578125" style="97" customWidth="1"/>
    <col min="13560" max="13560" width="14.42578125" style="97" customWidth="1"/>
    <col min="13561" max="13562" width="11" style="97" customWidth="1"/>
    <col min="13563" max="13563" width="15" style="97" customWidth="1"/>
    <col min="13564" max="13564" width="11" style="97" customWidth="1"/>
    <col min="13565" max="13565" width="12.7109375" style="97" customWidth="1"/>
    <col min="13566" max="13566" width="12.85546875" style="97" customWidth="1"/>
    <col min="13567" max="13567" width="13.42578125" style="97" customWidth="1"/>
    <col min="13568" max="13571" width="9.140625" style="97"/>
    <col min="13572" max="13572" width="15.28515625" style="97" customWidth="1"/>
    <col min="13573" max="13573" width="9.28515625" style="97" bestFit="1" customWidth="1"/>
    <col min="13574" max="13574" width="9.140625" style="97"/>
    <col min="13575" max="13575" width="12.7109375" style="97" customWidth="1"/>
    <col min="13576" max="13814" width="9.140625" style="97"/>
    <col min="13815" max="13815" width="15.42578125" style="97" customWidth="1"/>
    <col min="13816" max="13816" width="14.42578125" style="97" customWidth="1"/>
    <col min="13817" max="13818" width="11" style="97" customWidth="1"/>
    <col min="13819" max="13819" width="15" style="97" customWidth="1"/>
    <col min="13820" max="13820" width="11" style="97" customWidth="1"/>
    <col min="13821" max="13821" width="12.7109375" style="97" customWidth="1"/>
    <col min="13822" max="13822" width="12.85546875" style="97" customWidth="1"/>
    <col min="13823" max="13823" width="13.42578125" style="97" customWidth="1"/>
    <col min="13824" max="13827" width="9.140625" style="97"/>
    <col min="13828" max="13828" width="15.28515625" style="97" customWidth="1"/>
    <col min="13829" max="13829" width="9.28515625" style="97" bestFit="1" customWidth="1"/>
    <col min="13830" max="13830" width="9.140625" style="97"/>
    <col min="13831" max="13831" width="12.7109375" style="97" customWidth="1"/>
    <col min="13832" max="14070" width="9.140625" style="97"/>
    <col min="14071" max="14071" width="15.42578125" style="97" customWidth="1"/>
    <col min="14072" max="14072" width="14.42578125" style="97" customWidth="1"/>
    <col min="14073" max="14074" width="11" style="97" customWidth="1"/>
    <col min="14075" max="14075" width="15" style="97" customWidth="1"/>
    <col min="14076" max="14076" width="11" style="97" customWidth="1"/>
    <col min="14077" max="14077" width="12.7109375" style="97" customWidth="1"/>
    <col min="14078" max="14078" width="12.85546875" style="97" customWidth="1"/>
    <col min="14079" max="14079" width="13.42578125" style="97" customWidth="1"/>
    <col min="14080" max="14083" width="9.140625" style="97"/>
    <col min="14084" max="14084" width="15.28515625" style="97" customWidth="1"/>
    <col min="14085" max="14085" width="9.28515625" style="97" bestFit="1" customWidth="1"/>
    <col min="14086" max="14086" width="9.140625" style="97"/>
    <col min="14087" max="14087" width="12.7109375" style="97" customWidth="1"/>
    <col min="14088" max="14326" width="9.140625" style="97"/>
    <col min="14327" max="14327" width="15.42578125" style="97" customWidth="1"/>
    <col min="14328" max="14328" width="14.42578125" style="97" customWidth="1"/>
    <col min="14329" max="14330" width="11" style="97" customWidth="1"/>
    <col min="14331" max="14331" width="15" style="97" customWidth="1"/>
    <col min="14332" max="14332" width="11" style="97" customWidth="1"/>
    <col min="14333" max="14333" width="12.7109375" style="97" customWidth="1"/>
    <col min="14334" max="14334" width="12.85546875" style="97" customWidth="1"/>
    <col min="14335" max="14335" width="13.42578125" style="97" customWidth="1"/>
    <col min="14336" max="14339" width="9.140625" style="97"/>
    <col min="14340" max="14340" width="15.28515625" style="97" customWidth="1"/>
    <col min="14341" max="14341" width="9.28515625" style="97" bestFit="1" customWidth="1"/>
    <col min="14342" max="14342" width="9.140625" style="97"/>
    <col min="14343" max="14343" width="12.7109375" style="97" customWidth="1"/>
    <col min="14344" max="14582" width="9.140625" style="97"/>
    <col min="14583" max="14583" width="15.42578125" style="97" customWidth="1"/>
    <col min="14584" max="14584" width="14.42578125" style="97" customWidth="1"/>
    <col min="14585" max="14586" width="11" style="97" customWidth="1"/>
    <col min="14587" max="14587" width="15" style="97" customWidth="1"/>
    <col min="14588" max="14588" width="11" style="97" customWidth="1"/>
    <col min="14589" max="14589" width="12.7109375" style="97" customWidth="1"/>
    <col min="14590" max="14590" width="12.85546875" style="97" customWidth="1"/>
    <col min="14591" max="14591" width="13.42578125" style="97" customWidth="1"/>
    <col min="14592" max="14595" width="9.140625" style="97"/>
    <col min="14596" max="14596" width="15.28515625" style="97" customWidth="1"/>
    <col min="14597" max="14597" width="9.28515625" style="97" bestFit="1" customWidth="1"/>
    <col min="14598" max="14598" width="9.140625" style="97"/>
    <col min="14599" max="14599" width="12.7109375" style="97" customWidth="1"/>
    <col min="14600" max="14838" width="9.140625" style="97"/>
    <col min="14839" max="14839" width="15.42578125" style="97" customWidth="1"/>
    <col min="14840" max="14840" width="14.42578125" style="97" customWidth="1"/>
    <col min="14841" max="14842" width="11" style="97" customWidth="1"/>
    <col min="14843" max="14843" width="15" style="97" customWidth="1"/>
    <col min="14844" max="14844" width="11" style="97" customWidth="1"/>
    <col min="14845" max="14845" width="12.7109375" style="97" customWidth="1"/>
    <col min="14846" max="14846" width="12.85546875" style="97" customWidth="1"/>
    <col min="14847" max="14847" width="13.42578125" style="97" customWidth="1"/>
    <col min="14848" max="14851" width="9.140625" style="97"/>
    <col min="14852" max="14852" width="15.28515625" style="97" customWidth="1"/>
    <col min="14853" max="14853" width="9.28515625" style="97" bestFit="1" customWidth="1"/>
    <col min="14854" max="14854" width="9.140625" style="97"/>
    <col min="14855" max="14855" width="12.7109375" style="97" customWidth="1"/>
    <col min="14856" max="15094" width="9.140625" style="97"/>
    <col min="15095" max="15095" width="15.42578125" style="97" customWidth="1"/>
    <col min="15096" max="15096" width="14.42578125" style="97" customWidth="1"/>
    <col min="15097" max="15098" width="11" style="97" customWidth="1"/>
    <col min="15099" max="15099" width="15" style="97" customWidth="1"/>
    <col min="15100" max="15100" width="11" style="97" customWidth="1"/>
    <col min="15101" max="15101" width="12.7109375" style="97" customWidth="1"/>
    <col min="15102" max="15102" width="12.85546875" style="97" customWidth="1"/>
    <col min="15103" max="15103" width="13.42578125" style="97" customWidth="1"/>
    <col min="15104" max="15107" width="9.140625" style="97"/>
    <col min="15108" max="15108" width="15.28515625" style="97" customWidth="1"/>
    <col min="15109" max="15109" width="9.28515625" style="97" bestFit="1" customWidth="1"/>
    <col min="15110" max="15110" width="9.140625" style="97"/>
    <col min="15111" max="15111" width="12.7109375" style="97" customWidth="1"/>
    <col min="15112" max="15350" width="9.140625" style="97"/>
    <col min="15351" max="15351" width="15.42578125" style="97" customWidth="1"/>
    <col min="15352" max="15352" width="14.42578125" style="97" customWidth="1"/>
    <col min="15353" max="15354" width="11" style="97" customWidth="1"/>
    <col min="15355" max="15355" width="15" style="97" customWidth="1"/>
    <col min="15356" max="15356" width="11" style="97" customWidth="1"/>
    <col min="15357" max="15357" width="12.7109375" style="97" customWidth="1"/>
    <col min="15358" max="15358" width="12.85546875" style="97" customWidth="1"/>
    <col min="15359" max="15359" width="13.42578125" style="97" customWidth="1"/>
    <col min="15360" max="15363" width="9.140625" style="97"/>
    <col min="15364" max="15364" width="15.28515625" style="97" customWidth="1"/>
    <col min="15365" max="15365" width="9.28515625" style="97" bestFit="1" customWidth="1"/>
    <col min="15366" max="15366" width="9.140625" style="97"/>
    <col min="15367" max="15367" width="12.7109375" style="97" customWidth="1"/>
    <col min="15368" max="15606" width="9.140625" style="97"/>
    <col min="15607" max="15607" width="15.42578125" style="97" customWidth="1"/>
    <col min="15608" max="15608" width="14.42578125" style="97" customWidth="1"/>
    <col min="15609" max="15610" width="11" style="97" customWidth="1"/>
    <col min="15611" max="15611" width="15" style="97" customWidth="1"/>
    <col min="15612" max="15612" width="11" style="97" customWidth="1"/>
    <col min="15613" max="15613" width="12.7109375" style="97" customWidth="1"/>
    <col min="15614" max="15614" width="12.85546875" style="97" customWidth="1"/>
    <col min="15615" max="15615" width="13.42578125" style="97" customWidth="1"/>
    <col min="15616" max="15619" width="9.140625" style="97"/>
    <col min="15620" max="15620" width="15.28515625" style="97" customWidth="1"/>
    <col min="15621" max="15621" width="9.28515625" style="97" bestFit="1" customWidth="1"/>
    <col min="15622" max="15622" width="9.140625" style="97"/>
    <col min="15623" max="15623" width="12.7109375" style="97" customWidth="1"/>
    <col min="15624" max="15862" width="9.140625" style="97"/>
    <col min="15863" max="15863" width="15.42578125" style="97" customWidth="1"/>
    <col min="15864" max="15864" width="14.42578125" style="97" customWidth="1"/>
    <col min="15865" max="15866" width="11" style="97" customWidth="1"/>
    <col min="15867" max="15867" width="15" style="97" customWidth="1"/>
    <col min="15868" max="15868" width="11" style="97" customWidth="1"/>
    <col min="15869" max="15869" width="12.7109375" style="97" customWidth="1"/>
    <col min="15870" max="15870" width="12.85546875" style="97" customWidth="1"/>
    <col min="15871" max="15871" width="13.42578125" style="97" customWidth="1"/>
    <col min="15872" max="15875" width="9.140625" style="97"/>
    <col min="15876" max="15876" width="15.28515625" style="97" customWidth="1"/>
    <col min="15877" max="15877" width="9.28515625" style="97" bestFit="1" customWidth="1"/>
    <col min="15878" max="15878" width="9.140625" style="97"/>
    <col min="15879" max="15879" width="12.7109375" style="97" customWidth="1"/>
    <col min="15880" max="16118" width="9.140625" style="97"/>
    <col min="16119" max="16119" width="15.42578125" style="97" customWidth="1"/>
    <col min="16120" max="16120" width="14.42578125" style="97" customWidth="1"/>
    <col min="16121" max="16122" width="11" style="97" customWidth="1"/>
    <col min="16123" max="16123" width="15" style="97" customWidth="1"/>
    <col min="16124" max="16124" width="11" style="97" customWidth="1"/>
    <col min="16125" max="16125" width="12.7109375" style="97" customWidth="1"/>
    <col min="16126" max="16126" width="12.85546875" style="97" customWidth="1"/>
    <col min="16127" max="16127" width="13.42578125" style="97" customWidth="1"/>
    <col min="16128" max="16131" width="9.140625" style="97"/>
    <col min="16132" max="16132" width="15.28515625" style="97" customWidth="1"/>
    <col min="16133" max="16133" width="9.28515625" style="97" bestFit="1" customWidth="1"/>
    <col min="16134" max="16134" width="9.140625" style="97"/>
    <col min="16135" max="16135" width="12.7109375" style="97" customWidth="1"/>
    <col min="16136" max="16384" width="9.140625" style="97"/>
  </cols>
  <sheetData>
    <row r="1" spans="1:16" ht="15.75">
      <c r="D1" s="98" t="s">
        <v>279</v>
      </c>
      <c r="E1" s="99"/>
      <c r="F1" s="99"/>
      <c r="G1" s="99"/>
      <c r="H1" s="99"/>
      <c r="I1" s="99"/>
      <c r="J1" s="99"/>
    </row>
    <row r="2" spans="1:16">
      <c r="B2" s="100" t="s">
        <v>394</v>
      </c>
      <c r="C2" s="101">
        <f>COUNT(B13:B73)</f>
        <v>7</v>
      </c>
      <c r="D2" s="102" t="s">
        <v>395</v>
      </c>
      <c r="E2" s="102" t="s">
        <v>396</v>
      </c>
      <c r="F2" s="102" t="s">
        <v>397</v>
      </c>
      <c r="G2" s="102" t="s">
        <v>398</v>
      </c>
      <c r="H2" s="102" t="s">
        <v>399</v>
      </c>
      <c r="I2" s="102" t="s">
        <v>400</v>
      </c>
      <c r="J2" s="102" t="s">
        <v>401</v>
      </c>
      <c r="K2" s="102" t="s">
        <v>402</v>
      </c>
      <c r="L2" s="103" t="s">
        <v>403</v>
      </c>
    </row>
    <row r="3" spans="1:16">
      <c r="B3" s="100" t="s">
        <v>404</v>
      </c>
      <c r="C3" s="101">
        <f>COUNT(B13:H13)</f>
        <v>3</v>
      </c>
      <c r="D3" s="104" t="s">
        <v>405</v>
      </c>
      <c r="E3" s="105">
        <f>C3-1</f>
        <v>2</v>
      </c>
      <c r="F3" s="105">
        <f>(SUMSQ(B74:H74)/C2)-C6</f>
        <v>3.9636647783347598</v>
      </c>
      <c r="G3" s="105">
        <f>F3/E3</f>
        <v>1.9818323891673799</v>
      </c>
      <c r="H3" s="105">
        <f>G3/G5</f>
        <v>2.7279123567302852</v>
      </c>
      <c r="I3" s="106">
        <f>FINV(0.05,E3,E$5)</f>
        <v>3.8852938347033836</v>
      </c>
      <c r="J3" s="107" t="str">
        <f>IF(H3&gt;K3,"**",IF(H3&gt;I3,"*","NS"))</f>
        <v>NS</v>
      </c>
      <c r="K3" s="106">
        <f>FINV(0.01,E3,E$5)</f>
        <v>6.9266081402579776</v>
      </c>
      <c r="L3" s="97">
        <f>FDIST(H3,E3,E$5)</f>
        <v>0.10554684187852946</v>
      </c>
    </row>
    <row r="4" spans="1:16">
      <c r="B4" s="100" t="s">
        <v>406</v>
      </c>
      <c r="C4" s="108">
        <f>I74</f>
        <v>114.50997938140959</v>
      </c>
      <c r="D4" s="104" t="s">
        <v>342</v>
      </c>
      <c r="E4" s="105">
        <f>C2-1</f>
        <v>6</v>
      </c>
      <c r="F4" s="105">
        <f>(SUMSQ(I13:I73)/C3)-C6</f>
        <v>1.7622192170460949</v>
      </c>
      <c r="G4" s="105">
        <f>F4/E4</f>
        <v>0.29370320284101581</v>
      </c>
      <c r="H4" s="105">
        <f>G4/G5</f>
        <v>0.40427061371111822</v>
      </c>
      <c r="I4" s="106">
        <f>FINV(0.05,E4,E$5)</f>
        <v>2.9961203776127796</v>
      </c>
      <c r="J4" s="107" t="str">
        <f>IF(H4&gt;K4,"**",IF(H4&gt;I4,"*","NS"))</f>
        <v>NS</v>
      </c>
      <c r="K4" s="106">
        <f>FINV(0.01,E4,E$5)</f>
        <v>4.820573502002043</v>
      </c>
      <c r="L4" s="109">
        <f>FDIST(H4,E4,E$5)</f>
        <v>0.86236477952348234</v>
      </c>
    </row>
    <row r="5" spans="1:16">
      <c r="B5" s="100" t="s">
        <v>280</v>
      </c>
      <c r="C5" s="108">
        <f>I74/(C2*C3)</f>
        <v>5.4528561610195041</v>
      </c>
      <c r="D5" s="104" t="s">
        <v>407</v>
      </c>
      <c r="E5" s="105">
        <f>E4*E3</f>
        <v>12</v>
      </c>
      <c r="F5" s="105">
        <f>F6-F4-F3</f>
        <v>8.7180178686217005</v>
      </c>
      <c r="G5" s="106">
        <f>F5/E5</f>
        <v>0.72650148905180834</v>
      </c>
      <c r="H5" s="105"/>
      <c r="I5" s="105"/>
      <c r="J5" s="107"/>
    </row>
    <row r="6" spans="1:16">
      <c r="B6" s="100" t="s">
        <v>408</v>
      </c>
      <c r="C6" s="108">
        <f>POWER(I74,2)/(C2*C3)</f>
        <v>624.40644656813572</v>
      </c>
      <c r="D6" s="102" t="s">
        <v>409</v>
      </c>
      <c r="E6" s="110">
        <f>C2*C3-1</f>
        <v>20</v>
      </c>
      <c r="F6" s="110">
        <f>SUMSQ(B13:H73)-C6</f>
        <v>14.443901864002555</v>
      </c>
      <c r="G6" s="110"/>
      <c r="H6" s="110"/>
      <c r="I6" s="110"/>
      <c r="J6" s="107"/>
    </row>
    <row r="7" spans="1:16" s="111" customFormat="1">
      <c r="C7" s="112"/>
      <c r="D7" s="113" t="s">
        <v>410</v>
      </c>
      <c r="E7" s="114"/>
      <c r="F7" s="114">
        <f>SQRT(G5)</f>
        <v>0.85235056699213163</v>
      </c>
      <c r="G7" s="115"/>
      <c r="H7" s="115"/>
      <c r="I7" s="115"/>
    </row>
    <row r="8" spans="1:16">
      <c r="D8" s="181" t="s">
        <v>411</v>
      </c>
      <c r="E8" s="181"/>
      <c r="F8" s="116">
        <f>SQRT((G5)/C3)</f>
        <v>0.49210482929683735</v>
      </c>
      <c r="I8" s="117"/>
    </row>
    <row r="9" spans="1:16">
      <c r="D9" s="181" t="s">
        <v>412</v>
      </c>
      <c r="E9" s="181"/>
      <c r="F9" s="116">
        <f>TINV(0.05,E5)*F8*SQRT(2)</f>
        <v>1.5163258830337243</v>
      </c>
      <c r="G9" s="97" t="s">
        <v>413</v>
      </c>
      <c r="H9" s="116">
        <f>TINV(0.01,E5)*F8*SQRT(2)</f>
        <v>2.1257803227431435</v>
      </c>
    </row>
    <row r="10" spans="1:16">
      <c r="D10" s="181" t="s">
        <v>414</v>
      </c>
      <c r="E10" s="181"/>
      <c r="F10" s="116">
        <f>SQRT(G5)/C5*100</f>
        <v>15.631268124864132</v>
      </c>
    </row>
    <row r="11" spans="1:16">
      <c r="D11" s="107"/>
      <c r="E11" s="118"/>
      <c r="O11" s="153" t="s">
        <v>280</v>
      </c>
      <c r="P11" s="154">
        <f>C5</f>
        <v>5.4528561610195041</v>
      </c>
    </row>
    <row r="12" spans="1:16">
      <c r="A12" s="119" t="s">
        <v>342</v>
      </c>
      <c r="B12" s="119" t="s">
        <v>415</v>
      </c>
      <c r="C12" s="119" t="s">
        <v>416</v>
      </c>
      <c r="D12" s="119" t="s">
        <v>417</v>
      </c>
      <c r="E12" s="119">
        <v>4</v>
      </c>
      <c r="F12" s="119">
        <v>5</v>
      </c>
      <c r="G12" s="119">
        <v>6</v>
      </c>
      <c r="H12" s="119">
        <v>8</v>
      </c>
      <c r="I12" s="119" t="s">
        <v>418</v>
      </c>
      <c r="J12" s="119" t="s">
        <v>280</v>
      </c>
      <c r="K12" s="119" t="s">
        <v>419</v>
      </c>
      <c r="O12" s="155" t="s">
        <v>410</v>
      </c>
      <c r="P12" s="156">
        <f>SQRT(G5)</f>
        <v>0.85235056699213163</v>
      </c>
    </row>
    <row r="13" spans="1:16" ht="15">
      <c r="A13" s="123">
        <v>1</v>
      </c>
      <c r="B13" s="142">
        <v>5.5269230769230768</v>
      </c>
      <c r="C13" s="142">
        <v>5.5027322404371581</v>
      </c>
      <c r="D13" s="142">
        <v>6.4817813765182191</v>
      </c>
      <c r="E13" s="120"/>
      <c r="F13" s="120"/>
      <c r="G13" s="120"/>
      <c r="H13" s="120"/>
      <c r="I13" s="121">
        <f t="shared" ref="I13:I44" si="0">SUM(B13:H13)</f>
        <v>17.511436693878451</v>
      </c>
      <c r="J13" s="122">
        <f t="shared" ref="J13:J73" si="1">AVERAGE(B13:H13)</f>
        <v>5.8371455646261508</v>
      </c>
      <c r="K13" s="122">
        <f>STDEV(B13:D13)/SQRT(C$3)</f>
        <v>0.32239354657664188</v>
      </c>
      <c r="O13" s="155" t="s">
        <v>450</v>
      </c>
      <c r="P13" s="156">
        <f>F7/C5*100</f>
        <v>15.631268124864132</v>
      </c>
    </row>
    <row r="14" spans="1:16" ht="15">
      <c r="A14" s="123">
        <v>2</v>
      </c>
      <c r="B14" s="142">
        <v>4.6709753231492366</v>
      </c>
      <c r="C14" s="142">
        <v>5.180371352785146</v>
      </c>
      <c r="D14" s="142">
        <v>5.8436911487758953</v>
      </c>
      <c r="E14" s="120"/>
      <c r="F14" s="120"/>
      <c r="G14" s="120"/>
      <c r="H14" s="120"/>
      <c r="I14" s="121">
        <f t="shared" si="0"/>
        <v>15.69503782471028</v>
      </c>
      <c r="J14" s="122">
        <f t="shared" si="1"/>
        <v>5.2316792749034269</v>
      </c>
      <c r="K14" s="122">
        <f t="shared" ref="K14:K73" si="2">STDEV(B14:D14)/SQRT(C$3)</f>
        <v>0.33950453068791381</v>
      </c>
      <c r="O14" s="155" t="s">
        <v>451</v>
      </c>
      <c r="P14" s="156">
        <f>F7/SQRT(C3)</f>
        <v>0.49210482929683735</v>
      </c>
    </row>
    <row r="15" spans="1:16" ht="15">
      <c r="A15" s="123">
        <v>3</v>
      </c>
      <c r="B15" s="142">
        <v>4.538818076477404</v>
      </c>
      <c r="C15" s="142">
        <v>5.8342939481268008</v>
      </c>
      <c r="D15" s="142">
        <v>6.5059021922428331</v>
      </c>
      <c r="E15" s="120"/>
      <c r="F15" s="120"/>
      <c r="G15" s="120"/>
      <c r="H15" s="120"/>
      <c r="I15" s="121">
        <f t="shared" si="0"/>
        <v>16.879014216847036</v>
      </c>
      <c r="J15" s="122">
        <f t="shared" si="1"/>
        <v>5.6263380722823451</v>
      </c>
      <c r="K15" s="122">
        <f t="shared" si="2"/>
        <v>0.57728941740628092</v>
      </c>
      <c r="O15" s="155" t="s">
        <v>452</v>
      </c>
      <c r="P15" s="156">
        <f>F8*SQRT(2)</f>
        <v>0.69594132370088424</v>
      </c>
    </row>
    <row r="16" spans="1:16" ht="15">
      <c r="A16" s="123">
        <v>4</v>
      </c>
      <c r="B16" s="142">
        <v>3.9626274065685165</v>
      </c>
      <c r="C16" s="142">
        <v>5.6024653312788901</v>
      </c>
      <c r="D16" s="142">
        <v>5.6420765027322402</v>
      </c>
      <c r="E16" s="120"/>
      <c r="F16" s="120"/>
      <c r="G16" s="120"/>
      <c r="H16" s="120"/>
      <c r="I16" s="121">
        <f t="shared" si="0"/>
        <v>15.207169240579645</v>
      </c>
      <c r="J16" s="122">
        <f t="shared" si="1"/>
        <v>5.0690564135265488</v>
      </c>
      <c r="K16" s="122">
        <f t="shared" si="2"/>
        <v>0.55333266720981722</v>
      </c>
      <c r="O16" s="155" t="s">
        <v>453</v>
      </c>
      <c r="P16" s="156">
        <f>TINV(0.05,E5)*F8*SQRT(2)</f>
        <v>1.5163258830337243</v>
      </c>
    </row>
    <row r="17" spans="1:16" ht="15">
      <c r="A17" s="123">
        <v>5</v>
      </c>
      <c r="B17" s="142">
        <v>5.206602768903088</v>
      </c>
      <c r="C17" s="142">
        <v>6.8069705093833779</v>
      </c>
      <c r="D17" s="142">
        <v>3.7541254125412542</v>
      </c>
      <c r="E17" s="120"/>
      <c r="F17" s="120"/>
      <c r="G17" s="120"/>
      <c r="H17" s="120"/>
      <c r="I17" s="121">
        <f t="shared" si="0"/>
        <v>15.76769869082772</v>
      </c>
      <c r="J17" s="122">
        <f t="shared" si="1"/>
        <v>5.2558995636092396</v>
      </c>
      <c r="K17" s="122">
        <f t="shared" si="2"/>
        <v>0.88162509545431433</v>
      </c>
      <c r="O17" s="155" t="s">
        <v>454</v>
      </c>
      <c r="P17" s="156">
        <f>TINV(0.01,E5)*F8*SQRT(2)</f>
        <v>2.1257803227431435</v>
      </c>
    </row>
    <row r="18" spans="1:16" ht="15">
      <c r="A18" s="123">
        <v>6</v>
      </c>
      <c r="B18" s="142">
        <v>6</v>
      </c>
      <c r="C18" s="142">
        <v>5.9085948158253752</v>
      </c>
      <c r="D18" s="142">
        <v>5.6234652114597541</v>
      </c>
      <c r="E18" s="120"/>
      <c r="F18" s="120"/>
      <c r="G18" s="120"/>
      <c r="H18" s="120"/>
      <c r="I18" s="121">
        <f t="shared" si="0"/>
        <v>17.532060027285127</v>
      </c>
      <c r="J18" s="122">
        <f t="shared" si="1"/>
        <v>5.8440200090950425</v>
      </c>
      <c r="K18" s="122">
        <f t="shared" si="2"/>
        <v>0.11339024207498634</v>
      </c>
      <c r="O18" s="155" t="s">
        <v>455</v>
      </c>
      <c r="P18" s="156">
        <f>(G4-G5)/C3</f>
        <v>-0.1442660954035975</v>
      </c>
    </row>
    <row r="19" spans="1:16" ht="15">
      <c r="A19" s="123">
        <v>7</v>
      </c>
      <c r="B19" s="142">
        <v>3.9725177304964543</v>
      </c>
      <c r="C19" s="142">
        <v>5.7250996015936249</v>
      </c>
      <c r="D19" s="142">
        <v>6.2199453551912569</v>
      </c>
      <c r="E19" s="120"/>
      <c r="F19" s="120"/>
      <c r="G19" s="120"/>
      <c r="H19" s="120"/>
      <c r="I19" s="121">
        <f t="shared" si="0"/>
        <v>15.917562687281336</v>
      </c>
      <c r="J19" s="122">
        <f t="shared" si="1"/>
        <v>5.3058542290937787</v>
      </c>
      <c r="K19" s="122">
        <f t="shared" si="2"/>
        <v>0.68180098362895647</v>
      </c>
      <c r="O19" s="155" t="s">
        <v>456</v>
      </c>
      <c r="P19" s="156">
        <f>P18+G5</f>
        <v>0.58223539364821086</v>
      </c>
    </row>
    <row r="20" spans="1:16" ht="15">
      <c r="A20" s="123">
        <v>8</v>
      </c>
      <c r="B20" s="157"/>
      <c r="C20" s="157"/>
      <c r="D20" s="157"/>
      <c r="E20" s="120"/>
      <c r="F20" s="120"/>
      <c r="G20" s="120"/>
      <c r="H20" s="120"/>
      <c r="I20" s="121">
        <f t="shared" si="0"/>
        <v>0</v>
      </c>
      <c r="J20" s="122" t="e">
        <f t="shared" si="1"/>
        <v>#DIV/0!</v>
      </c>
      <c r="K20" s="122" t="e">
        <f t="shared" si="2"/>
        <v>#DIV/0!</v>
      </c>
      <c r="O20" s="155" t="s">
        <v>457</v>
      </c>
      <c r="P20" s="156" t="e">
        <f>SQRT(P18)</f>
        <v>#NUM!</v>
      </c>
    </row>
    <row r="21" spans="1:16" ht="15">
      <c r="A21" s="123">
        <v>9</v>
      </c>
      <c r="B21" s="157"/>
      <c r="C21" s="157"/>
      <c r="D21" s="157"/>
      <c r="E21" s="120"/>
      <c r="F21" s="120"/>
      <c r="G21" s="120"/>
      <c r="H21" s="120"/>
      <c r="I21" s="121">
        <f t="shared" si="0"/>
        <v>0</v>
      </c>
      <c r="J21" s="122" t="e">
        <f t="shared" si="1"/>
        <v>#DIV/0!</v>
      </c>
      <c r="K21" s="122" t="e">
        <f t="shared" si="2"/>
        <v>#DIV/0!</v>
      </c>
      <c r="O21" s="155" t="s">
        <v>458</v>
      </c>
      <c r="P21" s="156">
        <f>SQRT(P19)</f>
        <v>0.76304350704806534</v>
      </c>
    </row>
    <row r="22" spans="1:16" ht="15">
      <c r="A22" s="123">
        <v>10</v>
      </c>
      <c r="B22" s="157"/>
      <c r="C22" s="157"/>
      <c r="D22" s="157"/>
      <c r="E22" s="120"/>
      <c r="F22" s="120"/>
      <c r="G22" s="120"/>
      <c r="H22" s="120"/>
      <c r="I22" s="121">
        <f t="shared" si="0"/>
        <v>0</v>
      </c>
      <c r="J22" s="122" t="e">
        <f t="shared" si="1"/>
        <v>#DIV/0!</v>
      </c>
      <c r="K22" s="122" t="e">
        <f t="shared" si="2"/>
        <v>#DIV/0!</v>
      </c>
      <c r="O22" s="155" t="s">
        <v>459</v>
      </c>
      <c r="P22" s="156">
        <f>G5</f>
        <v>0.72650148905180834</v>
      </c>
    </row>
    <row r="23" spans="1:16" ht="15">
      <c r="A23" s="123">
        <v>11</v>
      </c>
      <c r="B23" s="157"/>
      <c r="C23" s="157"/>
      <c r="D23" s="157"/>
      <c r="E23" s="120"/>
      <c r="F23" s="120"/>
      <c r="G23" s="120"/>
      <c r="H23" s="120"/>
      <c r="I23" s="121">
        <f t="shared" si="0"/>
        <v>0</v>
      </c>
      <c r="J23" s="122" t="e">
        <f t="shared" si="1"/>
        <v>#DIV/0!</v>
      </c>
      <c r="K23" s="122" t="e">
        <f t="shared" si="2"/>
        <v>#DIV/0!</v>
      </c>
      <c r="O23" s="155" t="s">
        <v>460</v>
      </c>
      <c r="P23" s="156">
        <f>SQRT(P22)</f>
        <v>0.85235056699213163</v>
      </c>
    </row>
    <row r="24" spans="1:16" ht="15">
      <c r="A24" s="123">
        <v>12</v>
      </c>
      <c r="B24" s="157"/>
      <c r="C24" s="157"/>
      <c r="D24" s="157"/>
      <c r="E24" s="120"/>
      <c r="F24" s="120"/>
      <c r="G24" s="120"/>
      <c r="H24" s="120"/>
      <c r="I24" s="121">
        <f t="shared" si="0"/>
        <v>0</v>
      </c>
      <c r="J24" s="122" t="e">
        <f t="shared" si="1"/>
        <v>#DIV/0!</v>
      </c>
      <c r="K24" s="122" t="e">
        <f t="shared" si="2"/>
        <v>#DIV/0!</v>
      </c>
      <c r="O24" s="155" t="s">
        <v>461</v>
      </c>
      <c r="P24" s="156" t="e">
        <f>P20/C5*100</f>
        <v>#NUM!</v>
      </c>
    </row>
    <row r="25" spans="1:16" ht="15">
      <c r="A25" s="123">
        <v>13</v>
      </c>
      <c r="B25" s="157"/>
      <c r="C25" s="157"/>
      <c r="D25" s="157"/>
      <c r="E25" s="120"/>
      <c r="F25" s="120"/>
      <c r="G25" s="120"/>
      <c r="H25" s="120"/>
      <c r="I25" s="121">
        <f t="shared" si="0"/>
        <v>0</v>
      </c>
      <c r="J25" s="122" t="e">
        <f t="shared" si="1"/>
        <v>#DIV/0!</v>
      </c>
      <c r="K25" s="122" t="e">
        <f t="shared" si="2"/>
        <v>#DIV/0!</v>
      </c>
      <c r="O25" s="155" t="s">
        <v>462</v>
      </c>
      <c r="P25" s="156">
        <f>P21/C5*100</f>
        <v>13.993464791952286</v>
      </c>
    </row>
    <row r="26" spans="1:16" ht="15">
      <c r="A26" s="123">
        <v>14</v>
      </c>
      <c r="B26" s="157"/>
      <c r="C26" s="157"/>
      <c r="D26" s="157"/>
      <c r="E26" s="120"/>
      <c r="F26" s="120"/>
      <c r="G26" s="120"/>
      <c r="H26" s="120"/>
      <c r="I26" s="121">
        <f t="shared" si="0"/>
        <v>0</v>
      </c>
      <c r="J26" s="122" t="e">
        <f t="shared" si="1"/>
        <v>#DIV/0!</v>
      </c>
      <c r="K26" s="122" t="e">
        <f t="shared" si="2"/>
        <v>#DIV/0!</v>
      </c>
      <c r="O26" s="155" t="s">
        <v>463</v>
      </c>
      <c r="P26" s="156">
        <f>P23/C5*100</f>
        <v>15.631268124864132</v>
      </c>
    </row>
    <row r="27" spans="1:16" ht="15">
      <c r="A27" s="123">
        <v>15</v>
      </c>
      <c r="B27" s="157"/>
      <c r="C27" s="157"/>
      <c r="D27" s="157"/>
      <c r="E27" s="120"/>
      <c r="F27" s="120"/>
      <c r="G27" s="120"/>
      <c r="H27" s="120"/>
      <c r="I27" s="121">
        <f t="shared" si="0"/>
        <v>0</v>
      </c>
      <c r="J27" s="122" t="e">
        <f t="shared" si="1"/>
        <v>#DIV/0!</v>
      </c>
      <c r="K27" s="122" t="e">
        <f t="shared" si="2"/>
        <v>#DIV/0!</v>
      </c>
      <c r="O27" s="155" t="s">
        <v>464</v>
      </c>
      <c r="P27" s="156">
        <f>P18/P19*100</f>
        <v>-24.777967292514631</v>
      </c>
    </row>
    <row r="28" spans="1:16" ht="15">
      <c r="A28" s="123">
        <v>16</v>
      </c>
      <c r="B28" s="157"/>
      <c r="C28" s="157"/>
      <c r="D28" s="157"/>
      <c r="E28" s="120"/>
      <c r="F28" s="120"/>
      <c r="G28" s="120"/>
      <c r="H28" s="120"/>
      <c r="I28" s="121">
        <f t="shared" si="0"/>
        <v>0</v>
      </c>
      <c r="J28" s="122" t="e">
        <f t="shared" si="1"/>
        <v>#DIV/0!</v>
      </c>
      <c r="K28" s="122" t="e">
        <f t="shared" si="2"/>
        <v>#DIV/0!</v>
      </c>
      <c r="O28" s="155" t="s">
        <v>465</v>
      </c>
      <c r="P28" s="156">
        <f>P18/P21*2.06</f>
        <v>-0.38947734144429397</v>
      </c>
    </row>
    <row r="29" spans="1:16" ht="15">
      <c r="A29" s="123">
        <v>17</v>
      </c>
      <c r="B29" s="157"/>
      <c r="C29" s="157"/>
      <c r="D29" s="157"/>
      <c r="E29" s="120"/>
      <c r="F29" s="120"/>
      <c r="G29" s="120"/>
      <c r="H29" s="120"/>
      <c r="I29" s="121">
        <f t="shared" si="0"/>
        <v>0</v>
      </c>
      <c r="J29" s="122" t="e">
        <f t="shared" si="1"/>
        <v>#DIV/0!</v>
      </c>
      <c r="K29" s="122" t="e">
        <f t="shared" si="2"/>
        <v>#DIV/0!</v>
      </c>
      <c r="O29" s="158" t="s">
        <v>466</v>
      </c>
      <c r="P29" s="159">
        <f>P28/C5*100</f>
        <v>-7.1426300262333449</v>
      </c>
    </row>
    <row r="30" spans="1:16" ht="15">
      <c r="A30" s="123">
        <v>18</v>
      </c>
      <c r="B30" s="157"/>
      <c r="C30" s="157"/>
      <c r="D30" s="157"/>
      <c r="E30" s="120"/>
      <c r="F30" s="120"/>
      <c r="G30" s="120"/>
      <c r="H30" s="120"/>
      <c r="I30" s="121">
        <f t="shared" si="0"/>
        <v>0</v>
      </c>
      <c r="J30" s="122" t="e">
        <f t="shared" si="1"/>
        <v>#DIV/0!</v>
      </c>
      <c r="K30" s="122" t="e">
        <f t="shared" si="2"/>
        <v>#DIV/0!</v>
      </c>
    </row>
    <row r="31" spans="1:16" ht="15">
      <c r="A31" s="123">
        <v>19</v>
      </c>
      <c r="B31" s="157"/>
      <c r="C31" s="157"/>
      <c r="D31" s="157"/>
      <c r="E31" s="120"/>
      <c r="F31" s="120"/>
      <c r="G31" s="120"/>
      <c r="H31" s="120"/>
      <c r="I31" s="121">
        <f t="shared" si="0"/>
        <v>0</v>
      </c>
      <c r="J31" s="122" t="e">
        <f t="shared" si="1"/>
        <v>#DIV/0!</v>
      </c>
      <c r="K31" s="122" t="e">
        <f t="shared" si="2"/>
        <v>#DIV/0!</v>
      </c>
    </row>
    <row r="32" spans="1:16" ht="15">
      <c r="A32" s="123">
        <v>20</v>
      </c>
      <c r="B32" s="157"/>
      <c r="C32" s="157"/>
      <c r="D32" s="157"/>
      <c r="E32" s="120"/>
      <c r="F32" s="120"/>
      <c r="G32" s="120"/>
      <c r="H32" s="120"/>
      <c r="I32" s="121">
        <f t="shared" si="0"/>
        <v>0</v>
      </c>
      <c r="J32" s="122" t="e">
        <f t="shared" si="1"/>
        <v>#DIV/0!</v>
      </c>
      <c r="K32" s="122" t="e">
        <f t="shared" si="2"/>
        <v>#DIV/0!</v>
      </c>
    </row>
    <row r="33" spans="1:11" ht="15">
      <c r="A33" s="123">
        <v>21</v>
      </c>
      <c r="B33" s="157"/>
      <c r="C33" s="157"/>
      <c r="D33" s="157"/>
      <c r="E33" s="120"/>
      <c r="F33" s="120"/>
      <c r="G33" s="120"/>
      <c r="H33" s="120"/>
      <c r="I33" s="121">
        <f t="shared" si="0"/>
        <v>0</v>
      </c>
      <c r="J33" s="122" t="e">
        <f t="shared" si="1"/>
        <v>#DIV/0!</v>
      </c>
      <c r="K33" s="122" t="e">
        <f t="shared" si="2"/>
        <v>#DIV/0!</v>
      </c>
    </row>
    <row r="34" spans="1:11" ht="15">
      <c r="A34" s="123">
        <v>22</v>
      </c>
      <c r="B34" s="157"/>
      <c r="C34" s="157"/>
      <c r="D34" s="157"/>
      <c r="E34" s="120"/>
      <c r="F34" s="120"/>
      <c r="G34" s="120"/>
      <c r="H34" s="120"/>
      <c r="I34" s="121">
        <f t="shared" si="0"/>
        <v>0</v>
      </c>
      <c r="J34" s="122" t="e">
        <f t="shared" si="1"/>
        <v>#DIV/0!</v>
      </c>
      <c r="K34" s="122" t="e">
        <f t="shared" si="2"/>
        <v>#DIV/0!</v>
      </c>
    </row>
    <row r="35" spans="1:11" ht="15">
      <c r="A35" s="123">
        <v>23</v>
      </c>
      <c r="B35" s="157"/>
      <c r="C35" s="157"/>
      <c r="D35" s="157"/>
      <c r="E35" s="120"/>
      <c r="F35" s="120"/>
      <c r="G35" s="120"/>
      <c r="H35" s="120"/>
      <c r="I35" s="121">
        <f t="shared" si="0"/>
        <v>0</v>
      </c>
      <c r="J35" s="122" t="e">
        <f t="shared" si="1"/>
        <v>#DIV/0!</v>
      </c>
      <c r="K35" s="122" t="e">
        <f t="shared" si="2"/>
        <v>#DIV/0!</v>
      </c>
    </row>
    <row r="36" spans="1:11" ht="15">
      <c r="A36" s="123">
        <v>24</v>
      </c>
      <c r="B36" s="157"/>
      <c r="C36" s="157"/>
      <c r="D36" s="157"/>
      <c r="E36" s="120"/>
      <c r="F36" s="120"/>
      <c r="G36" s="120"/>
      <c r="H36" s="120"/>
      <c r="I36" s="121">
        <f t="shared" si="0"/>
        <v>0</v>
      </c>
      <c r="J36" s="122" t="e">
        <f t="shared" si="1"/>
        <v>#DIV/0!</v>
      </c>
      <c r="K36" s="122" t="e">
        <f t="shared" si="2"/>
        <v>#DIV/0!</v>
      </c>
    </row>
    <row r="37" spans="1:11" ht="15">
      <c r="A37" s="123">
        <v>25</v>
      </c>
      <c r="B37" s="157"/>
      <c r="C37" s="157"/>
      <c r="D37" s="157"/>
      <c r="E37" s="120"/>
      <c r="F37" s="120"/>
      <c r="G37" s="120"/>
      <c r="H37" s="120"/>
      <c r="I37" s="121">
        <f t="shared" si="0"/>
        <v>0</v>
      </c>
      <c r="J37" s="122" t="e">
        <f t="shared" si="1"/>
        <v>#DIV/0!</v>
      </c>
      <c r="K37" s="122" t="e">
        <f t="shared" si="2"/>
        <v>#DIV/0!</v>
      </c>
    </row>
    <row r="38" spans="1:11" ht="15">
      <c r="A38" s="123">
        <v>26</v>
      </c>
      <c r="B38" s="157"/>
      <c r="C38" s="157"/>
      <c r="D38" s="157"/>
      <c r="E38" s="120"/>
      <c r="F38" s="120"/>
      <c r="G38" s="120"/>
      <c r="H38" s="120"/>
      <c r="I38" s="121">
        <f t="shared" si="0"/>
        <v>0</v>
      </c>
      <c r="J38" s="122" t="e">
        <f t="shared" si="1"/>
        <v>#DIV/0!</v>
      </c>
      <c r="K38" s="122" t="e">
        <f t="shared" si="2"/>
        <v>#DIV/0!</v>
      </c>
    </row>
    <row r="39" spans="1:11" ht="15">
      <c r="A39" s="123">
        <v>27</v>
      </c>
      <c r="B39" s="157"/>
      <c r="C39" s="157"/>
      <c r="D39" s="157"/>
      <c r="E39" s="120"/>
      <c r="F39" s="120"/>
      <c r="G39" s="120"/>
      <c r="H39" s="120"/>
      <c r="I39" s="121">
        <f t="shared" si="0"/>
        <v>0</v>
      </c>
      <c r="J39" s="122" t="e">
        <f t="shared" si="1"/>
        <v>#DIV/0!</v>
      </c>
      <c r="K39" s="122" t="e">
        <f t="shared" si="2"/>
        <v>#DIV/0!</v>
      </c>
    </row>
    <row r="40" spans="1:11" ht="15">
      <c r="A40" s="123">
        <v>28</v>
      </c>
      <c r="B40" s="157"/>
      <c r="C40" s="157"/>
      <c r="D40" s="157"/>
      <c r="E40" s="120"/>
      <c r="F40" s="120"/>
      <c r="G40" s="120"/>
      <c r="H40" s="120"/>
      <c r="I40" s="121">
        <f t="shared" si="0"/>
        <v>0</v>
      </c>
      <c r="J40" s="122" t="e">
        <f t="shared" si="1"/>
        <v>#DIV/0!</v>
      </c>
      <c r="K40" s="122" t="e">
        <f t="shared" si="2"/>
        <v>#DIV/0!</v>
      </c>
    </row>
    <row r="41" spans="1:11" ht="15">
      <c r="A41" s="123">
        <v>29</v>
      </c>
      <c r="B41" s="157"/>
      <c r="C41" s="157"/>
      <c r="D41" s="157"/>
      <c r="E41" s="120"/>
      <c r="F41" s="120"/>
      <c r="G41" s="120"/>
      <c r="H41" s="120"/>
      <c r="I41" s="121">
        <f t="shared" si="0"/>
        <v>0</v>
      </c>
      <c r="J41" s="122" t="e">
        <f t="shared" si="1"/>
        <v>#DIV/0!</v>
      </c>
      <c r="K41" s="122" t="e">
        <f t="shared" si="2"/>
        <v>#DIV/0!</v>
      </c>
    </row>
    <row r="42" spans="1:11" ht="15">
      <c r="A42" s="123">
        <v>30</v>
      </c>
      <c r="B42" s="157"/>
      <c r="C42" s="157"/>
      <c r="D42" s="157"/>
      <c r="E42" s="120"/>
      <c r="F42" s="120"/>
      <c r="G42" s="120"/>
      <c r="H42" s="120"/>
      <c r="I42" s="121">
        <f t="shared" si="0"/>
        <v>0</v>
      </c>
      <c r="J42" s="122" t="e">
        <f t="shared" si="1"/>
        <v>#DIV/0!</v>
      </c>
      <c r="K42" s="122" t="e">
        <f t="shared" si="2"/>
        <v>#DIV/0!</v>
      </c>
    </row>
    <row r="43" spans="1:11" ht="15">
      <c r="A43" s="123">
        <v>31</v>
      </c>
      <c r="B43" s="157"/>
      <c r="C43" s="157"/>
      <c r="D43" s="157"/>
      <c r="E43" s="120"/>
      <c r="F43" s="120"/>
      <c r="G43" s="120"/>
      <c r="H43" s="120"/>
      <c r="I43" s="121">
        <f t="shared" si="0"/>
        <v>0</v>
      </c>
      <c r="J43" s="122" t="e">
        <f t="shared" si="1"/>
        <v>#DIV/0!</v>
      </c>
      <c r="K43" s="122" t="e">
        <f t="shared" si="2"/>
        <v>#DIV/0!</v>
      </c>
    </row>
    <row r="44" spans="1:11" ht="15">
      <c r="A44" s="123">
        <v>32</v>
      </c>
      <c r="B44" s="157"/>
      <c r="C44" s="157"/>
      <c r="D44" s="157"/>
      <c r="E44" s="120"/>
      <c r="F44" s="120"/>
      <c r="G44" s="120"/>
      <c r="H44" s="120"/>
      <c r="I44" s="121">
        <f t="shared" si="0"/>
        <v>0</v>
      </c>
      <c r="J44" s="122" t="e">
        <f t="shared" si="1"/>
        <v>#DIV/0!</v>
      </c>
      <c r="K44" s="122" t="e">
        <f t="shared" si="2"/>
        <v>#DIV/0!</v>
      </c>
    </row>
    <row r="45" spans="1:11" ht="15">
      <c r="A45" s="123">
        <v>33</v>
      </c>
      <c r="B45" s="157"/>
      <c r="C45" s="157"/>
      <c r="D45" s="157"/>
      <c r="E45" s="120"/>
      <c r="F45" s="120"/>
      <c r="G45" s="120"/>
      <c r="H45" s="120"/>
      <c r="I45" s="121">
        <f t="shared" ref="I45:I73" si="3">SUM(B45:H45)</f>
        <v>0</v>
      </c>
      <c r="J45" s="122" t="e">
        <f t="shared" si="1"/>
        <v>#DIV/0!</v>
      </c>
      <c r="K45" s="122" t="e">
        <f t="shared" si="2"/>
        <v>#DIV/0!</v>
      </c>
    </row>
    <row r="46" spans="1:11" ht="15">
      <c r="A46" s="123">
        <v>34</v>
      </c>
      <c r="B46" s="157"/>
      <c r="C46" s="157"/>
      <c r="D46" s="157"/>
      <c r="E46" s="120"/>
      <c r="F46" s="120"/>
      <c r="G46" s="120"/>
      <c r="H46" s="120"/>
      <c r="I46" s="121">
        <f t="shared" si="3"/>
        <v>0</v>
      </c>
      <c r="J46" s="122" t="e">
        <f t="shared" si="1"/>
        <v>#DIV/0!</v>
      </c>
      <c r="K46" s="122" t="e">
        <f t="shared" si="2"/>
        <v>#DIV/0!</v>
      </c>
    </row>
    <row r="47" spans="1:11" ht="15">
      <c r="A47" s="123">
        <v>35</v>
      </c>
      <c r="B47" s="157"/>
      <c r="C47" s="157"/>
      <c r="D47" s="157"/>
      <c r="E47" s="120"/>
      <c r="F47" s="120"/>
      <c r="G47" s="120"/>
      <c r="H47" s="120"/>
      <c r="I47" s="121">
        <f t="shared" si="3"/>
        <v>0</v>
      </c>
      <c r="J47" s="122" t="e">
        <f t="shared" si="1"/>
        <v>#DIV/0!</v>
      </c>
      <c r="K47" s="122" t="e">
        <f t="shared" si="2"/>
        <v>#DIV/0!</v>
      </c>
    </row>
    <row r="48" spans="1:11" ht="15">
      <c r="A48" s="123">
        <v>36</v>
      </c>
      <c r="B48" s="157"/>
      <c r="C48" s="157"/>
      <c r="D48" s="157"/>
      <c r="E48" s="120"/>
      <c r="F48" s="120"/>
      <c r="G48" s="120"/>
      <c r="H48" s="120"/>
      <c r="I48" s="121">
        <f t="shared" si="3"/>
        <v>0</v>
      </c>
      <c r="J48" s="122" t="e">
        <f t="shared" si="1"/>
        <v>#DIV/0!</v>
      </c>
      <c r="K48" s="122" t="e">
        <f t="shared" si="2"/>
        <v>#DIV/0!</v>
      </c>
    </row>
    <row r="49" spans="1:17" ht="15">
      <c r="A49" s="123">
        <v>37</v>
      </c>
      <c r="B49" s="157"/>
      <c r="C49" s="157"/>
      <c r="D49" s="157"/>
      <c r="E49" s="120"/>
      <c r="F49" s="120"/>
      <c r="G49" s="120"/>
      <c r="H49" s="120"/>
      <c r="I49" s="121">
        <f t="shared" si="3"/>
        <v>0</v>
      </c>
      <c r="J49" s="122" t="e">
        <f t="shared" si="1"/>
        <v>#DIV/0!</v>
      </c>
      <c r="K49" s="122" t="e">
        <f t="shared" si="2"/>
        <v>#DIV/0!</v>
      </c>
    </row>
    <row r="50" spans="1:17" ht="15">
      <c r="A50" s="123">
        <v>38</v>
      </c>
      <c r="B50" s="157"/>
      <c r="C50" s="157"/>
      <c r="D50" s="157"/>
      <c r="E50" s="120"/>
      <c r="F50" s="120"/>
      <c r="G50" s="120"/>
      <c r="H50" s="120"/>
      <c r="I50" s="121">
        <f t="shared" si="3"/>
        <v>0</v>
      </c>
      <c r="J50" s="122" t="e">
        <f t="shared" si="1"/>
        <v>#DIV/0!</v>
      </c>
      <c r="K50" s="122" t="e">
        <f t="shared" si="2"/>
        <v>#DIV/0!</v>
      </c>
    </row>
    <row r="51" spans="1:17" ht="15">
      <c r="A51" s="123">
        <v>39</v>
      </c>
      <c r="B51" s="157"/>
      <c r="C51" s="157"/>
      <c r="D51" s="157"/>
      <c r="E51" s="120"/>
      <c r="F51" s="120"/>
      <c r="G51" s="120"/>
      <c r="H51" s="120"/>
      <c r="I51" s="121">
        <f t="shared" si="3"/>
        <v>0</v>
      </c>
      <c r="J51" s="122" t="e">
        <f t="shared" si="1"/>
        <v>#DIV/0!</v>
      </c>
      <c r="K51" s="122" t="e">
        <f t="shared" si="2"/>
        <v>#DIV/0!</v>
      </c>
    </row>
    <row r="52" spans="1:17" ht="15">
      <c r="A52" s="123">
        <v>40</v>
      </c>
      <c r="B52" s="157"/>
      <c r="C52" s="157"/>
      <c r="D52" s="157"/>
      <c r="E52" s="120"/>
      <c r="F52" s="120"/>
      <c r="G52" s="120"/>
      <c r="H52" s="120"/>
      <c r="I52" s="121">
        <f t="shared" si="3"/>
        <v>0</v>
      </c>
      <c r="J52" s="122" t="e">
        <f t="shared" si="1"/>
        <v>#DIV/0!</v>
      </c>
      <c r="K52" s="122" t="e">
        <f t="shared" si="2"/>
        <v>#DIV/0!</v>
      </c>
    </row>
    <row r="53" spans="1:17" ht="15">
      <c r="A53" s="123">
        <v>41</v>
      </c>
      <c r="B53" s="157"/>
      <c r="C53" s="157"/>
      <c r="D53" s="157"/>
      <c r="E53" s="120"/>
      <c r="F53" s="120"/>
      <c r="G53" s="120"/>
      <c r="H53" s="120"/>
      <c r="I53" s="121">
        <f t="shared" si="3"/>
        <v>0</v>
      </c>
      <c r="J53" s="122" t="e">
        <f t="shared" si="1"/>
        <v>#DIV/0!</v>
      </c>
      <c r="K53" s="122" t="e">
        <f t="shared" si="2"/>
        <v>#DIV/0!</v>
      </c>
    </row>
    <row r="54" spans="1:17" ht="15">
      <c r="A54" s="123">
        <v>42</v>
      </c>
      <c r="B54" s="157"/>
      <c r="C54" s="157"/>
      <c r="D54" s="157"/>
      <c r="E54" s="120"/>
      <c r="F54" s="120"/>
      <c r="G54" s="120"/>
      <c r="H54" s="120"/>
      <c r="I54" s="121">
        <f t="shared" si="3"/>
        <v>0</v>
      </c>
      <c r="J54" s="122" t="e">
        <f t="shared" si="1"/>
        <v>#DIV/0!</v>
      </c>
      <c r="K54" s="122" t="e">
        <f t="shared" si="2"/>
        <v>#DIV/0!</v>
      </c>
    </row>
    <row r="55" spans="1:17" ht="15">
      <c r="A55" s="123">
        <v>43</v>
      </c>
      <c r="B55" s="157"/>
      <c r="C55" s="157"/>
      <c r="D55" s="157"/>
      <c r="E55" s="120"/>
      <c r="F55" s="120"/>
      <c r="G55" s="120"/>
      <c r="H55" s="120"/>
      <c r="I55" s="121">
        <f t="shared" si="3"/>
        <v>0</v>
      </c>
      <c r="J55" s="122" t="e">
        <f t="shared" si="1"/>
        <v>#DIV/0!</v>
      </c>
      <c r="K55" s="122" t="e">
        <f t="shared" si="2"/>
        <v>#DIV/0!</v>
      </c>
    </row>
    <row r="56" spans="1:17" ht="15">
      <c r="A56" s="123">
        <v>44</v>
      </c>
      <c r="B56" s="157"/>
      <c r="C56" s="157"/>
      <c r="D56" s="157"/>
      <c r="E56" s="120"/>
      <c r="F56" s="120"/>
      <c r="G56" s="120"/>
      <c r="H56" s="120"/>
      <c r="I56" s="121">
        <f t="shared" si="3"/>
        <v>0</v>
      </c>
      <c r="J56" s="122" t="e">
        <f t="shared" si="1"/>
        <v>#DIV/0!</v>
      </c>
      <c r="K56" s="122" t="e">
        <f t="shared" si="2"/>
        <v>#DIV/0!</v>
      </c>
    </row>
    <row r="57" spans="1:17" ht="15">
      <c r="A57" s="123">
        <v>45</v>
      </c>
      <c r="B57" s="157"/>
      <c r="C57" s="157"/>
      <c r="D57" s="157"/>
      <c r="E57" s="120"/>
      <c r="F57" s="120"/>
      <c r="G57" s="120"/>
      <c r="H57" s="120"/>
      <c r="I57" s="121">
        <f t="shared" si="3"/>
        <v>0</v>
      </c>
      <c r="J57" s="122" t="e">
        <f t="shared" si="1"/>
        <v>#DIV/0!</v>
      </c>
      <c r="K57" s="122" t="e">
        <f t="shared" si="2"/>
        <v>#DIV/0!</v>
      </c>
    </row>
    <row r="58" spans="1:17" ht="15">
      <c r="A58" s="123">
        <v>46</v>
      </c>
      <c r="B58" s="157"/>
      <c r="C58" s="157"/>
      <c r="D58" s="157"/>
      <c r="E58" s="120"/>
      <c r="F58" s="120"/>
      <c r="G58" s="120"/>
      <c r="H58" s="120"/>
      <c r="I58" s="121">
        <f t="shared" si="3"/>
        <v>0</v>
      </c>
      <c r="J58" s="122" t="e">
        <f t="shared" si="1"/>
        <v>#DIV/0!</v>
      </c>
      <c r="K58" s="122" t="e">
        <f t="shared" si="2"/>
        <v>#DIV/0!</v>
      </c>
    </row>
    <row r="59" spans="1:17" ht="15">
      <c r="A59" s="123">
        <v>47</v>
      </c>
      <c r="B59" s="157"/>
      <c r="C59" s="157"/>
      <c r="D59" s="157"/>
      <c r="E59" s="120"/>
      <c r="F59" s="120"/>
      <c r="G59" s="120"/>
      <c r="H59" s="120"/>
      <c r="I59" s="121">
        <f t="shared" si="3"/>
        <v>0</v>
      </c>
      <c r="J59" s="122" t="e">
        <f t="shared" si="1"/>
        <v>#DIV/0!</v>
      </c>
      <c r="K59" s="122" t="e">
        <f t="shared" si="2"/>
        <v>#DIV/0!</v>
      </c>
      <c r="Q59" s="160" t="s">
        <v>467</v>
      </c>
    </row>
    <row r="60" spans="1:17" ht="15">
      <c r="A60" s="123">
        <v>48</v>
      </c>
      <c r="B60" s="157"/>
      <c r="C60" s="157"/>
      <c r="D60" s="157"/>
      <c r="E60" s="120"/>
      <c r="F60" s="120"/>
      <c r="G60" s="120"/>
      <c r="H60" s="120"/>
      <c r="I60" s="121">
        <f t="shared" si="3"/>
        <v>0</v>
      </c>
      <c r="J60" s="122" t="e">
        <f t="shared" si="1"/>
        <v>#DIV/0!</v>
      </c>
      <c r="K60" s="122" t="e">
        <f t="shared" si="2"/>
        <v>#DIV/0!</v>
      </c>
      <c r="Q60" s="160" t="s">
        <v>468</v>
      </c>
    </row>
    <row r="61" spans="1:17" ht="15">
      <c r="A61" s="123">
        <v>49</v>
      </c>
      <c r="B61" s="157"/>
      <c r="C61" s="157"/>
      <c r="D61" s="157"/>
      <c r="E61" s="120"/>
      <c r="F61" s="120"/>
      <c r="G61" s="120"/>
      <c r="H61" s="120"/>
      <c r="I61" s="121">
        <f t="shared" si="3"/>
        <v>0</v>
      </c>
      <c r="J61" s="122" t="e">
        <f t="shared" si="1"/>
        <v>#DIV/0!</v>
      </c>
      <c r="K61" s="122" t="e">
        <f t="shared" si="2"/>
        <v>#DIV/0!</v>
      </c>
    </row>
    <row r="62" spans="1:17" ht="15">
      <c r="A62" s="123">
        <v>50</v>
      </c>
      <c r="B62" s="157"/>
      <c r="C62" s="157"/>
      <c r="D62" s="157"/>
      <c r="E62" s="120"/>
      <c r="F62" s="120"/>
      <c r="G62" s="120"/>
      <c r="H62" s="120"/>
      <c r="I62" s="121">
        <f t="shared" si="3"/>
        <v>0</v>
      </c>
      <c r="J62" s="122" t="e">
        <f t="shared" si="1"/>
        <v>#DIV/0!</v>
      </c>
      <c r="K62" s="122" t="e">
        <f t="shared" si="2"/>
        <v>#DIV/0!</v>
      </c>
    </row>
    <row r="63" spans="1:17" ht="15">
      <c r="A63" s="123">
        <v>51</v>
      </c>
      <c r="B63" s="157"/>
      <c r="C63" s="157"/>
      <c r="D63" s="157"/>
      <c r="E63" s="120"/>
      <c r="F63" s="120"/>
      <c r="G63" s="120"/>
      <c r="H63" s="120"/>
      <c r="I63" s="121">
        <f t="shared" si="3"/>
        <v>0</v>
      </c>
      <c r="J63" s="122" t="e">
        <f t="shared" si="1"/>
        <v>#DIV/0!</v>
      </c>
      <c r="K63" s="122" t="e">
        <f t="shared" si="2"/>
        <v>#DIV/0!</v>
      </c>
    </row>
    <row r="64" spans="1:17" ht="15">
      <c r="A64" s="123">
        <v>52</v>
      </c>
      <c r="B64" s="157"/>
      <c r="C64" s="157"/>
      <c r="D64" s="157"/>
      <c r="E64" s="120"/>
      <c r="F64" s="120"/>
      <c r="G64" s="120"/>
      <c r="H64" s="120"/>
      <c r="I64" s="121">
        <f t="shared" si="3"/>
        <v>0</v>
      </c>
      <c r="J64" s="122" t="e">
        <f t="shared" si="1"/>
        <v>#DIV/0!</v>
      </c>
      <c r="K64" s="122" t="e">
        <f t="shared" si="2"/>
        <v>#DIV/0!</v>
      </c>
    </row>
    <row r="65" spans="1:11" ht="15">
      <c r="A65" s="123">
        <v>53</v>
      </c>
      <c r="B65" s="157"/>
      <c r="C65" s="157"/>
      <c r="D65" s="157"/>
      <c r="E65" s="120"/>
      <c r="F65" s="120"/>
      <c r="G65" s="120"/>
      <c r="H65" s="120"/>
      <c r="I65" s="121">
        <f t="shared" si="3"/>
        <v>0</v>
      </c>
      <c r="J65" s="122" t="e">
        <f t="shared" si="1"/>
        <v>#DIV/0!</v>
      </c>
      <c r="K65" s="122" t="e">
        <f t="shared" si="2"/>
        <v>#DIV/0!</v>
      </c>
    </row>
    <row r="66" spans="1:11" ht="15">
      <c r="A66" s="123">
        <v>54</v>
      </c>
      <c r="B66" s="157"/>
      <c r="C66" s="157"/>
      <c r="D66" s="157"/>
      <c r="E66" s="120"/>
      <c r="F66" s="120"/>
      <c r="G66" s="120"/>
      <c r="H66" s="120"/>
      <c r="I66" s="121">
        <f t="shared" si="3"/>
        <v>0</v>
      </c>
      <c r="J66" s="122" t="e">
        <f t="shared" si="1"/>
        <v>#DIV/0!</v>
      </c>
      <c r="K66" s="122" t="e">
        <f t="shared" si="2"/>
        <v>#DIV/0!</v>
      </c>
    </row>
    <row r="67" spans="1:11" ht="15">
      <c r="A67" s="123">
        <v>55</v>
      </c>
      <c r="B67" s="157"/>
      <c r="C67" s="157"/>
      <c r="D67" s="157"/>
      <c r="E67" s="120"/>
      <c r="F67" s="120"/>
      <c r="G67" s="120"/>
      <c r="H67" s="120"/>
      <c r="I67" s="121">
        <f t="shared" si="3"/>
        <v>0</v>
      </c>
      <c r="J67" s="122" t="e">
        <f t="shared" si="1"/>
        <v>#DIV/0!</v>
      </c>
      <c r="K67" s="122" t="e">
        <f t="shared" si="2"/>
        <v>#DIV/0!</v>
      </c>
    </row>
    <row r="68" spans="1:11" ht="15">
      <c r="A68" s="123">
        <v>56</v>
      </c>
      <c r="B68" s="157"/>
      <c r="C68" s="157"/>
      <c r="D68" s="157"/>
      <c r="E68" s="120"/>
      <c r="F68" s="120"/>
      <c r="G68" s="120"/>
      <c r="H68" s="120"/>
      <c r="I68" s="121">
        <f t="shared" si="3"/>
        <v>0</v>
      </c>
      <c r="J68" s="122" t="e">
        <f t="shared" si="1"/>
        <v>#DIV/0!</v>
      </c>
      <c r="K68" s="122" t="e">
        <f t="shared" si="2"/>
        <v>#DIV/0!</v>
      </c>
    </row>
    <row r="69" spans="1:11" ht="15">
      <c r="A69" s="123">
        <v>57</v>
      </c>
      <c r="B69" s="157"/>
      <c r="C69" s="157"/>
      <c r="D69" s="157"/>
      <c r="E69" s="120"/>
      <c r="F69" s="120"/>
      <c r="G69" s="120"/>
      <c r="H69" s="120"/>
      <c r="I69" s="121">
        <f t="shared" si="3"/>
        <v>0</v>
      </c>
      <c r="J69" s="122" t="e">
        <f t="shared" si="1"/>
        <v>#DIV/0!</v>
      </c>
      <c r="K69" s="122" t="e">
        <f t="shared" si="2"/>
        <v>#DIV/0!</v>
      </c>
    </row>
    <row r="70" spans="1:11" ht="15">
      <c r="A70" s="123">
        <v>58</v>
      </c>
      <c r="B70" s="157"/>
      <c r="C70" s="157"/>
      <c r="D70" s="157"/>
      <c r="E70" s="120"/>
      <c r="F70" s="120"/>
      <c r="G70" s="120"/>
      <c r="H70" s="120"/>
      <c r="I70" s="121">
        <f t="shared" si="3"/>
        <v>0</v>
      </c>
      <c r="J70" s="122" t="e">
        <f t="shared" si="1"/>
        <v>#DIV/0!</v>
      </c>
      <c r="K70" s="122" t="e">
        <f t="shared" si="2"/>
        <v>#DIV/0!</v>
      </c>
    </row>
    <row r="71" spans="1:11" ht="15">
      <c r="A71" s="123">
        <v>59</v>
      </c>
      <c r="B71" s="157"/>
      <c r="C71" s="157"/>
      <c r="D71" s="157"/>
      <c r="E71" s="120"/>
      <c r="F71" s="120"/>
      <c r="G71" s="120"/>
      <c r="H71" s="120"/>
      <c r="I71" s="121">
        <f t="shared" si="3"/>
        <v>0</v>
      </c>
      <c r="J71" s="122" t="e">
        <f t="shared" si="1"/>
        <v>#DIV/0!</v>
      </c>
      <c r="K71" s="122" t="e">
        <f t="shared" si="2"/>
        <v>#DIV/0!</v>
      </c>
    </row>
    <row r="72" spans="1:11" ht="15">
      <c r="A72" s="123">
        <v>60</v>
      </c>
      <c r="B72" s="157"/>
      <c r="C72" s="157"/>
      <c r="D72" s="157"/>
      <c r="E72" s="120"/>
      <c r="F72" s="120"/>
      <c r="G72" s="120"/>
      <c r="H72" s="120"/>
      <c r="I72" s="121">
        <f t="shared" si="3"/>
        <v>0</v>
      </c>
      <c r="J72" s="122" t="e">
        <f t="shared" si="1"/>
        <v>#DIV/0!</v>
      </c>
      <c r="K72" s="122" t="e">
        <f t="shared" si="2"/>
        <v>#DIV/0!</v>
      </c>
    </row>
    <row r="73" spans="1:11" ht="15">
      <c r="A73" s="123">
        <v>61</v>
      </c>
      <c r="B73" s="157"/>
      <c r="C73" s="157"/>
      <c r="D73" s="157"/>
      <c r="E73" s="120"/>
      <c r="F73" s="120"/>
      <c r="G73" s="120"/>
      <c r="H73" s="120"/>
      <c r="I73" s="121">
        <f t="shared" si="3"/>
        <v>0</v>
      </c>
      <c r="J73" s="122" t="e">
        <f t="shared" si="1"/>
        <v>#DIV/0!</v>
      </c>
      <c r="K73" s="122" t="e">
        <f t="shared" si="2"/>
        <v>#DIV/0!</v>
      </c>
    </row>
    <row r="74" spans="1:11">
      <c r="A74" s="125" t="s">
        <v>260</v>
      </c>
      <c r="B74" s="126">
        <f>SUM(B13:B73)</f>
        <v>33.878464382517777</v>
      </c>
      <c r="C74" s="126">
        <f t="shared" ref="C74:I74" si="4">SUM(C13:C73)</f>
        <v>40.560527799430375</v>
      </c>
      <c r="D74" s="126">
        <f t="shared" si="4"/>
        <v>40.070987199461449</v>
      </c>
      <c r="E74" s="126">
        <f t="shared" si="4"/>
        <v>0</v>
      </c>
      <c r="F74" s="126">
        <f t="shared" si="4"/>
        <v>0</v>
      </c>
      <c r="G74" s="126">
        <f t="shared" si="4"/>
        <v>0</v>
      </c>
      <c r="H74" s="126">
        <f t="shared" si="4"/>
        <v>0</v>
      </c>
      <c r="I74" s="126">
        <f t="shared" si="4"/>
        <v>114.50997938140959</v>
      </c>
      <c r="J74" s="116"/>
    </row>
    <row r="79" spans="1:11" ht="18">
      <c r="D79" s="161"/>
    </row>
    <row r="80" spans="1:11" s="99" customFormat="1" ht="15"/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Y132"/>
  <sheetViews>
    <sheetView topLeftCell="A34" zoomScale="60" zoomScaleNormal="60" workbookViewId="0">
      <selection activeCell="N76" sqref="N76:N96"/>
    </sheetView>
  </sheetViews>
  <sheetFormatPr defaultRowHeight="15"/>
  <cols>
    <col min="1" max="1" width="19" customWidth="1"/>
    <col min="2" max="2" width="14.7109375" bestFit="1" customWidth="1"/>
    <col min="3" max="3" width="13.85546875" customWidth="1"/>
    <col min="4" max="4" width="13.7109375" customWidth="1"/>
    <col min="5" max="5" width="16.85546875" customWidth="1"/>
    <col min="7" max="7" width="12.7109375" customWidth="1"/>
    <col min="8" max="8" width="10.5703125" customWidth="1"/>
    <col min="9" max="9" width="11.85546875" customWidth="1"/>
    <col min="15" max="15" width="15.42578125" customWidth="1"/>
    <col min="21" max="21" width="15.7109375" customWidth="1"/>
  </cols>
  <sheetData>
    <row r="1" spans="1:25">
      <c r="A1" s="31" t="s">
        <v>186</v>
      </c>
      <c r="B1" s="23"/>
    </row>
    <row r="2" spans="1:25">
      <c r="I2" s="5" t="s">
        <v>187</v>
      </c>
      <c r="J2" s="5"/>
      <c r="K2" s="5"/>
      <c r="L2" s="23"/>
    </row>
    <row r="3" spans="1:25">
      <c r="A3" s="32" t="s">
        <v>188</v>
      </c>
      <c r="I3" s="19"/>
      <c r="J3" s="19"/>
      <c r="K3" s="19"/>
    </row>
    <row r="4" spans="1:25">
      <c r="A4" s="5" t="s">
        <v>178</v>
      </c>
      <c r="B4" s="10" t="s">
        <v>179</v>
      </c>
      <c r="C4" s="10" t="s">
        <v>63</v>
      </c>
      <c r="D4" s="10" t="s">
        <v>64</v>
      </c>
      <c r="E4" s="10" t="s">
        <v>65</v>
      </c>
      <c r="F4" s="10" t="s">
        <v>66</v>
      </c>
      <c r="G4" s="10" t="s">
        <v>67</v>
      </c>
      <c r="I4" s="10" t="s">
        <v>178</v>
      </c>
      <c r="J4" s="10" t="s">
        <v>179</v>
      </c>
      <c r="K4" s="172" t="s">
        <v>65</v>
      </c>
      <c r="L4" s="173"/>
      <c r="M4" s="174"/>
      <c r="O4" s="10" t="s">
        <v>178</v>
      </c>
      <c r="P4" s="10" t="s">
        <v>179</v>
      </c>
      <c r="Q4" s="172" t="s">
        <v>66</v>
      </c>
      <c r="R4" s="173"/>
      <c r="S4" s="174"/>
      <c r="U4" s="10" t="s">
        <v>178</v>
      </c>
      <c r="V4" s="10" t="s">
        <v>179</v>
      </c>
      <c r="W4" s="170" t="s">
        <v>67</v>
      </c>
      <c r="X4" s="170"/>
      <c r="Y4" s="170"/>
    </row>
    <row r="5" spans="1:25">
      <c r="A5" s="20" t="s">
        <v>41</v>
      </c>
      <c r="B5" s="10">
        <v>1</v>
      </c>
      <c r="C5" s="21">
        <v>0.52</v>
      </c>
      <c r="D5" s="21">
        <v>1.4239999999999999</v>
      </c>
      <c r="E5" s="22">
        <f t="shared" ref="E5:E25" si="0">((20.2*C5)+(8.02*D5))*25/1000/0.2</f>
        <v>2.7405599999999994</v>
      </c>
      <c r="F5" s="22">
        <f t="shared" ref="F5:F25" si="1">((12.7*D5)-(2.69*C5))*25/1000/0.2</f>
        <v>2.0857499999999995</v>
      </c>
      <c r="G5" s="22">
        <f t="shared" ref="G5:G25" si="2">((22.9*C5)-(4.68*D5))*25/1000/0.2</f>
        <v>0.65546000000000004</v>
      </c>
      <c r="I5" s="10"/>
      <c r="J5" s="25"/>
      <c r="K5" s="26" t="s">
        <v>180</v>
      </c>
      <c r="L5" s="27" t="s">
        <v>181</v>
      </c>
      <c r="M5" s="26" t="s">
        <v>182</v>
      </c>
      <c r="O5" s="20"/>
      <c r="P5" s="25"/>
      <c r="Q5" s="27" t="s">
        <v>183</v>
      </c>
      <c r="R5" s="27" t="s">
        <v>181</v>
      </c>
      <c r="S5" s="26" t="s">
        <v>182</v>
      </c>
      <c r="U5" s="20"/>
      <c r="V5" s="25"/>
      <c r="W5" s="27" t="s">
        <v>183</v>
      </c>
      <c r="X5" s="27" t="s">
        <v>181</v>
      </c>
      <c r="Y5" s="26" t="s">
        <v>182</v>
      </c>
    </row>
    <row r="6" spans="1:25">
      <c r="A6" s="20" t="s">
        <v>42</v>
      </c>
      <c r="B6" s="10">
        <v>2</v>
      </c>
      <c r="C6" s="21">
        <v>0.34399999999999997</v>
      </c>
      <c r="D6" s="21">
        <v>0.97099999999999997</v>
      </c>
      <c r="E6" s="22">
        <f t="shared" si="0"/>
        <v>1.8420274999999997</v>
      </c>
      <c r="F6" s="22">
        <f t="shared" si="1"/>
        <v>1.4257924999999998</v>
      </c>
      <c r="G6" s="22">
        <f t="shared" si="2"/>
        <v>0.41666499999999995</v>
      </c>
      <c r="I6" s="20" t="s">
        <v>41</v>
      </c>
      <c r="J6" s="10">
        <v>1</v>
      </c>
      <c r="K6" s="28">
        <v>2.7405599999999994</v>
      </c>
      <c r="L6" s="28">
        <v>1.6741224999999997</v>
      </c>
      <c r="M6" s="28">
        <v>3.0703599999999995</v>
      </c>
      <c r="O6" s="20" t="s">
        <v>41</v>
      </c>
      <c r="P6" s="10">
        <v>1</v>
      </c>
      <c r="Q6" s="22">
        <v>2.0857499999999995</v>
      </c>
      <c r="R6" s="22">
        <v>1.2726099999999998</v>
      </c>
      <c r="S6" s="22">
        <v>2.2655612499999997</v>
      </c>
      <c r="U6" s="20" t="s">
        <v>41</v>
      </c>
      <c r="V6" s="10">
        <v>1</v>
      </c>
      <c r="W6" s="22">
        <v>0.65546000000000004</v>
      </c>
      <c r="X6" s="22">
        <v>0.40191000000000004</v>
      </c>
      <c r="Y6" s="22">
        <v>0.80554749999999975</v>
      </c>
    </row>
    <row r="7" spans="1:25">
      <c r="A7" s="20" t="s">
        <v>43</v>
      </c>
      <c r="B7" s="10">
        <v>3</v>
      </c>
      <c r="C7" s="21">
        <v>0.41599999999999998</v>
      </c>
      <c r="D7" s="21">
        <v>1.125</v>
      </c>
      <c r="E7" s="22">
        <f t="shared" si="0"/>
        <v>2.1782124999999999</v>
      </c>
      <c r="F7" s="22">
        <f t="shared" si="1"/>
        <v>1.6460575</v>
      </c>
      <c r="G7" s="22">
        <f t="shared" si="2"/>
        <v>0.5326749999999999</v>
      </c>
      <c r="I7" s="20" t="s">
        <v>42</v>
      </c>
      <c r="J7" s="10">
        <v>2</v>
      </c>
      <c r="K7" s="28">
        <v>1.8420274999999997</v>
      </c>
      <c r="L7" s="28">
        <v>2.4287725</v>
      </c>
      <c r="M7" s="28">
        <v>2.1216650000000001</v>
      </c>
      <c r="O7" s="20" t="s">
        <v>42</v>
      </c>
      <c r="P7" s="10">
        <v>2</v>
      </c>
      <c r="Q7" s="22">
        <v>1.4257924999999998</v>
      </c>
      <c r="R7" s="22">
        <v>1.826095</v>
      </c>
      <c r="S7" s="22">
        <v>1.5348387499999998</v>
      </c>
      <c r="U7" s="20" t="s">
        <v>42</v>
      </c>
      <c r="V7" s="10">
        <v>2</v>
      </c>
      <c r="W7" s="22">
        <v>0.41666499999999995</v>
      </c>
      <c r="X7" s="22">
        <v>0.60325999999999991</v>
      </c>
      <c r="Y7" s="22">
        <v>0.58735249999999983</v>
      </c>
    </row>
    <row r="8" spans="1:25">
      <c r="A8" s="20" t="s">
        <v>44</v>
      </c>
      <c r="B8" s="10">
        <v>4</v>
      </c>
      <c r="C8" s="21">
        <v>0.377</v>
      </c>
      <c r="D8" s="21">
        <v>1.028</v>
      </c>
      <c r="E8" s="22">
        <f t="shared" si="0"/>
        <v>1.9824950000000001</v>
      </c>
      <c r="F8" s="22">
        <f t="shared" si="1"/>
        <v>1.5051837499999998</v>
      </c>
      <c r="G8" s="22">
        <f t="shared" si="2"/>
        <v>0.4777825</v>
      </c>
      <c r="I8" s="20" t="s">
        <v>43</v>
      </c>
      <c r="J8" s="10">
        <v>3</v>
      </c>
      <c r="K8" s="28">
        <v>2.1782124999999999</v>
      </c>
      <c r="L8" s="28">
        <v>1.5643624999999999</v>
      </c>
      <c r="M8" s="28">
        <v>1.6730825</v>
      </c>
      <c r="O8" s="20" t="s">
        <v>43</v>
      </c>
      <c r="P8" s="10">
        <v>3</v>
      </c>
      <c r="Q8" s="22">
        <v>1.6460575</v>
      </c>
      <c r="R8" s="22">
        <v>1.2115024999999999</v>
      </c>
      <c r="S8" s="22">
        <v>1.2796325</v>
      </c>
      <c r="U8" s="20" t="s">
        <v>43</v>
      </c>
      <c r="V8" s="10">
        <v>3</v>
      </c>
      <c r="W8" s="22">
        <v>0.5326749999999999</v>
      </c>
      <c r="X8" s="22">
        <v>0.3532249999999999</v>
      </c>
      <c r="Y8" s="22">
        <v>0.393845</v>
      </c>
    </row>
    <row r="9" spans="1:25">
      <c r="A9" s="20" t="s">
        <v>45</v>
      </c>
      <c r="B9" s="10">
        <v>5</v>
      </c>
      <c r="C9" s="21">
        <v>0.441</v>
      </c>
      <c r="D9" s="21">
        <v>1.2270000000000001</v>
      </c>
      <c r="E9" s="22">
        <f t="shared" si="0"/>
        <v>2.3435924999999993</v>
      </c>
      <c r="F9" s="22">
        <f t="shared" si="1"/>
        <v>1.7995762500000001</v>
      </c>
      <c r="G9" s="22">
        <f t="shared" si="2"/>
        <v>0.54456749999999976</v>
      </c>
      <c r="I9" s="20" t="s">
        <v>44</v>
      </c>
      <c r="J9" s="10">
        <v>4</v>
      </c>
      <c r="K9" s="28">
        <v>1.9824950000000001</v>
      </c>
      <c r="L9" s="28">
        <v>2.0045500000000001</v>
      </c>
      <c r="M9" s="28">
        <v>1.3893649999999997</v>
      </c>
      <c r="O9" s="20" t="s">
        <v>44</v>
      </c>
      <c r="P9" s="10">
        <v>4</v>
      </c>
      <c r="Q9" s="22">
        <v>1.5051837499999998</v>
      </c>
      <c r="R9" s="22">
        <v>1.5401087499999999</v>
      </c>
      <c r="S9" s="22">
        <v>1.0644274999999999</v>
      </c>
      <c r="U9" s="20" t="s">
        <v>44</v>
      </c>
      <c r="V9" s="10">
        <v>4</v>
      </c>
      <c r="W9" s="22">
        <v>0.4777825</v>
      </c>
      <c r="X9" s="22">
        <v>0.46491250000000001</v>
      </c>
      <c r="Y9" s="22">
        <v>0.32526499999999997</v>
      </c>
    </row>
    <row r="10" spans="1:25">
      <c r="A10" s="20" t="s">
        <v>46</v>
      </c>
      <c r="B10" s="10">
        <v>6</v>
      </c>
      <c r="C10" s="21">
        <v>0.44500000000000001</v>
      </c>
      <c r="D10" s="21">
        <v>1.2250000000000001</v>
      </c>
      <c r="E10" s="22">
        <f t="shared" si="0"/>
        <v>2.3516874999999993</v>
      </c>
      <c r="F10" s="22">
        <f t="shared" si="1"/>
        <v>1.79505625</v>
      </c>
      <c r="G10" s="22">
        <f t="shared" si="2"/>
        <v>0.55718750000000006</v>
      </c>
      <c r="I10" s="20" t="s">
        <v>45</v>
      </c>
      <c r="J10" s="10">
        <v>5</v>
      </c>
      <c r="K10" s="28">
        <v>2.3435924999999993</v>
      </c>
      <c r="L10" s="28">
        <v>1.1312299999999997</v>
      </c>
      <c r="M10" s="28">
        <v>1.6123374999999998</v>
      </c>
      <c r="O10" s="20" t="s">
        <v>45</v>
      </c>
      <c r="P10" s="10">
        <v>5</v>
      </c>
      <c r="Q10" s="22">
        <v>1.7995762500000001</v>
      </c>
      <c r="R10" s="22">
        <v>0.8853987499999999</v>
      </c>
      <c r="S10" s="22">
        <v>1.20511375</v>
      </c>
      <c r="U10" s="20" t="s">
        <v>45</v>
      </c>
      <c r="V10" s="10">
        <v>5</v>
      </c>
      <c r="W10" s="22">
        <v>0.54456749999999976</v>
      </c>
      <c r="X10" s="22">
        <v>0.24609249999999991</v>
      </c>
      <c r="Y10" s="22">
        <v>0.40761249999999988</v>
      </c>
    </row>
    <row r="11" spans="1:25">
      <c r="A11" s="20" t="s">
        <v>189</v>
      </c>
      <c r="B11" s="10">
        <v>7</v>
      </c>
      <c r="C11" s="21">
        <v>0.45400000000000001</v>
      </c>
      <c r="D11" s="21">
        <v>1.236</v>
      </c>
      <c r="E11" s="22">
        <f t="shared" si="0"/>
        <v>2.38544</v>
      </c>
      <c r="F11" s="22">
        <f t="shared" si="1"/>
        <v>1.8094924999999997</v>
      </c>
      <c r="G11" s="22">
        <f t="shared" si="2"/>
        <v>0.576515</v>
      </c>
      <c r="I11" s="20" t="s">
        <v>46</v>
      </c>
      <c r="J11" s="10">
        <v>6</v>
      </c>
      <c r="K11" s="28">
        <v>2.3516874999999993</v>
      </c>
      <c r="L11" s="28">
        <v>3.1462174999999997</v>
      </c>
      <c r="M11" s="28">
        <v>1.7455624999999999</v>
      </c>
      <c r="O11" s="20" t="s">
        <v>46</v>
      </c>
      <c r="P11" s="10">
        <v>6</v>
      </c>
      <c r="Q11" s="22">
        <v>1.79505625</v>
      </c>
      <c r="R11" s="22">
        <v>2.3466724999999999</v>
      </c>
      <c r="S11" s="22">
        <v>1.3250524999999997</v>
      </c>
      <c r="U11" s="20" t="s">
        <v>46</v>
      </c>
      <c r="V11" s="10">
        <v>6</v>
      </c>
      <c r="W11" s="22">
        <v>0.55718750000000006</v>
      </c>
      <c r="X11" s="22">
        <v>0.80030500000000004</v>
      </c>
      <c r="Y11" s="22">
        <v>0.42092499999999994</v>
      </c>
    </row>
    <row r="12" spans="1:25">
      <c r="A12" s="20" t="s">
        <v>41</v>
      </c>
      <c r="B12" s="10">
        <v>8</v>
      </c>
      <c r="C12" s="21">
        <v>0.318</v>
      </c>
      <c r="D12" s="21">
        <v>0.86899999999999999</v>
      </c>
      <c r="E12" s="22">
        <f t="shared" si="0"/>
        <v>1.6741224999999997</v>
      </c>
      <c r="F12" s="22">
        <f t="shared" si="1"/>
        <v>1.2726099999999998</v>
      </c>
      <c r="G12" s="22">
        <f t="shared" si="2"/>
        <v>0.40191000000000004</v>
      </c>
      <c r="I12" s="20" t="s">
        <v>189</v>
      </c>
      <c r="J12" s="10">
        <v>7</v>
      </c>
      <c r="K12" s="28">
        <v>2.38544</v>
      </c>
      <c r="L12" s="28">
        <v>2.5051125000000001</v>
      </c>
      <c r="M12" s="28">
        <v>1.4272024999999999</v>
      </c>
      <c r="O12" s="20" t="s">
        <v>189</v>
      </c>
      <c r="P12" s="10">
        <v>7</v>
      </c>
      <c r="Q12" s="22">
        <v>1.8094924999999997</v>
      </c>
      <c r="R12" s="22">
        <v>1.9123049999999999</v>
      </c>
      <c r="S12" s="22">
        <v>1.0679937499999999</v>
      </c>
      <c r="U12" s="20" t="s">
        <v>189</v>
      </c>
      <c r="V12" s="10">
        <v>7</v>
      </c>
      <c r="W12" s="22">
        <v>0.576515</v>
      </c>
      <c r="X12" s="22">
        <v>0.59340000000000004</v>
      </c>
      <c r="Y12" s="22">
        <v>0.35955250000000005</v>
      </c>
    </row>
    <row r="13" spans="1:25">
      <c r="A13" s="20" t="s">
        <v>42</v>
      </c>
      <c r="B13" s="10">
        <v>9</v>
      </c>
      <c r="C13" s="21">
        <v>0.46600000000000003</v>
      </c>
      <c r="D13" s="21">
        <v>1.2490000000000001</v>
      </c>
      <c r="E13" s="22">
        <f t="shared" si="0"/>
        <v>2.4287725</v>
      </c>
      <c r="F13" s="22">
        <f t="shared" si="1"/>
        <v>1.826095</v>
      </c>
      <c r="G13" s="22">
        <f t="shared" si="2"/>
        <v>0.60325999999999991</v>
      </c>
      <c r="I13" s="33"/>
      <c r="J13" s="33"/>
      <c r="K13" s="34"/>
      <c r="L13" s="34"/>
      <c r="M13" s="34"/>
    </row>
    <row r="14" spans="1:25">
      <c r="A14" s="20" t="s">
        <v>43</v>
      </c>
      <c r="B14" s="10">
        <v>10</v>
      </c>
      <c r="C14" s="21">
        <v>0.29199999999999998</v>
      </c>
      <c r="D14" s="21">
        <v>0.82499999999999996</v>
      </c>
      <c r="E14" s="22">
        <f t="shared" si="0"/>
        <v>1.5643624999999999</v>
      </c>
      <c r="F14" s="22">
        <f t="shared" si="1"/>
        <v>1.2115024999999999</v>
      </c>
      <c r="G14" s="22">
        <f t="shared" si="2"/>
        <v>0.3532249999999999</v>
      </c>
      <c r="I14" s="33"/>
      <c r="J14" s="33"/>
      <c r="K14" s="34"/>
      <c r="L14" s="34"/>
      <c r="M14" s="34"/>
    </row>
    <row r="15" spans="1:25">
      <c r="A15" s="20" t="s">
        <v>44</v>
      </c>
      <c r="B15" s="10">
        <v>11</v>
      </c>
      <c r="C15" s="24">
        <v>0.377</v>
      </c>
      <c r="D15" s="24">
        <v>1.05</v>
      </c>
      <c r="E15" s="22">
        <f t="shared" si="0"/>
        <v>2.0045500000000001</v>
      </c>
      <c r="F15" s="22">
        <f t="shared" si="1"/>
        <v>1.5401087499999999</v>
      </c>
      <c r="G15" s="22">
        <f t="shared" si="2"/>
        <v>0.46491250000000001</v>
      </c>
      <c r="I15" s="35"/>
      <c r="J15" s="33"/>
      <c r="K15" s="34"/>
      <c r="L15" s="34"/>
      <c r="M15" s="34"/>
    </row>
    <row r="16" spans="1:25">
      <c r="A16" s="20" t="s">
        <v>45</v>
      </c>
      <c r="B16" s="10">
        <v>12</v>
      </c>
      <c r="C16" s="24">
        <v>0.20899999999999999</v>
      </c>
      <c r="D16" s="24">
        <v>0.60199999999999998</v>
      </c>
      <c r="E16" s="22">
        <f t="shared" si="0"/>
        <v>1.1312299999999997</v>
      </c>
      <c r="F16" s="22">
        <f t="shared" si="1"/>
        <v>0.8853987499999999</v>
      </c>
      <c r="G16" s="22">
        <f t="shared" si="2"/>
        <v>0.24609249999999991</v>
      </c>
      <c r="I16" s="36"/>
    </row>
    <row r="17" spans="1:25">
      <c r="A17" s="20" t="s">
        <v>46</v>
      </c>
      <c r="B17" s="10">
        <v>13</v>
      </c>
      <c r="C17" s="24">
        <v>0.60799999999999998</v>
      </c>
      <c r="D17" s="24">
        <v>1.607</v>
      </c>
      <c r="E17" s="22">
        <f t="shared" si="0"/>
        <v>3.1462174999999997</v>
      </c>
      <c r="F17" s="22">
        <f t="shared" si="1"/>
        <v>2.3466724999999999</v>
      </c>
      <c r="G17" s="22">
        <f t="shared" si="2"/>
        <v>0.80030500000000004</v>
      </c>
    </row>
    <row r="18" spans="1:25">
      <c r="A18" s="20" t="s">
        <v>189</v>
      </c>
      <c r="B18" s="10">
        <v>14</v>
      </c>
      <c r="C18" s="24">
        <v>0.47399999999999998</v>
      </c>
      <c r="D18" s="24">
        <v>1.3049999999999999</v>
      </c>
      <c r="E18" s="22">
        <f t="shared" si="0"/>
        <v>2.5051125000000001</v>
      </c>
      <c r="F18" s="22">
        <f t="shared" si="1"/>
        <v>1.9123049999999999</v>
      </c>
      <c r="G18" s="22">
        <f t="shared" si="2"/>
        <v>0.59340000000000004</v>
      </c>
    </row>
    <row r="19" spans="1:25">
      <c r="A19" s="20" t="s">
        <v>41</v>
      </c>
      <c r="B19" s="10">
        <v>15</v>
      </c>
      <c r="C19" s="24">
        <v>0.59899999999999998</v>
      </c>
      <c r="D19" s="24">
        <v>1.554</v>
      </c>
      <c r="E19" s="22">
        <f t="shared" si="0"/>
        <v>3.0703599999999995</v>
      </c>
      <c r="F19" s="22">
        <f t="shared" si="1"/>
        <v>2.2655612499999997</v>
      </c>
      <c r="G19" s="22">
        <f t="shared" si="2"/>
        <v>0.80554749999999975</v>
      </c>
    </row>
    <row r="20" spans="1:25">
      <c r="A20" s="20" t="s">
        <v>42</v>
      </c>
      <c r="B20" s="10">
        <v>16</v>
      </c>
      <c r="C20" s="24">
        <v>0.42099999999999999</v>
      </c>
      <c r="D20" s="24">
        <v>1.056</v>
      </c>
      <c r="E20" s="22">
        <f t="shared" si="0"/>
        <v>2.1216650000000001</v>
      </c>
      <c r="F20" s="22">
        <f t="shared" si="1"/>
        <v>1.5348387499999998</v>
      </c>
      <c r="G20" s="22">
        <f t="shared" si="2"/>
        <v>0.58735249999999983</v>
      </c>
    </row>
    <row r="21" spans="1:25">
      <c r="A21" s="20" t="s">
        <v>43</v>
      </c>
      <c r="B21" s="10">
        <v>17</v>
      </c>
      <c r="C21" s="24">
        <v>0.316</v>
      </c>
      <c r="D21" s="24">
        <v>0.873</v>
      </c>
      <c r="E21" s="22">
        <f t="shared" si="0"/>
        <v>1.6730825</v>
      </c>
      <c r="F21" s="22">
        <f t="shared" si="1"/>
        <v>1.2796325</v>
      </c>
      <c r="G21" s="22">
        <f t="shared" si="2"/>
        <v>0.393845</v>
      </c>
    </row>
    <row r="22" spans="1:25">
      <c r="A22" s="20" t="s">
        <v>44</v>
      </c>
      <c r="B22" s="10">
        <v>18</v>
      </c>
      <c r="C22" s="24">
        <v>0.26200000000000001</v>
      </c>
      <c r="D22" s="24">
        <v>0.72599999999999998</v>
      </c>
      <c r="E22" s="22">
        <f t="shared" si="0"/>
        <v>1.3893649999999997</v>
      </c>
      <c r="F22" s="22">
        <f t="shared" si="1"/>
        <v>1.0644274999999999</v>
      </c>
      <c r="G22" s="22">
        <f t="shared" si="2"/>
        <v>0.32526499999999997</v>
      </c>
    </row>
    <row r="23" spans="1:25">
      <c r="A23" s="20" t="s">
        <v>45</v>
      </c>
      <c r="B23" s="10">
        <v>19</v>
      </c>
      <c r="C23" s="24">
        <v>0.311</v>
      </c>
      <c r="D23" s="24">
        <v>0.82499999999999996</v>
      </c>
      <c r="E23" s="22">
        <f t="shared" si="0"/>
        <v>1.6123374999999998</v>
      </c>
      <c r="F23" s="22">
        <f t="shared" si="1"/>
        <v>1.20511375</v>
      </c>
      <c r="G23" s="22">
        <f t="shared" si="2"/>
        <v>0.40761249999999988</v>
      </c>
    </row>
    <row r="24" spans="1:25">
      <c r="A24" s="20" t="s">
        <v>46</v>
      </c>
      <c r="B24" s="10">
        <v>20</v>
      </c>
      <c r="C24" s="24">
        <v>0.33200000000000002</v>
      </c>
      <c r="D24" s="24">
        <v>0.90500000000000003</v>
      </c>
      <c r="E24" s="22">
        <f t="shared" si="0"/>
        <v>1.7455624999999999</v>
      </c>
      <c r="F24" s="22">
        <f t="shared" si="1"/>
        <v>1.3250524999999997</v>
      </c>
      <c r="G24" s="22">
        <f t="shared" si="2"/>
        <v>0.42092499999999994</v>
      </c>
    </row>
    <row r="25" spans="1:25">
      <c r="A25" s="20" t="s">
        <v>189</v>
      </c>
      <c r="B25" s="10">
        <v>21</v>
      </c>
      <c r="C25" s="24">
        <v>0.27500000000000002</v>
      </c>
      <c r="D25" s="24">
        <v>0.73099999999999998</v>
      </c>
      <c r="E25" s="22">
        <f t="shared" si="0"/>
        <v>1.4272024999999999</v>
      </c>
      <c r="F25" s="22">
        <f t="shared" si="1"/>
        <v>1.0679937499999999</v>
      </c>
      <c r="G25" s="22">
        <f t="shared" si="2"/>
        <v>0.35955250000000005</v>
      </c>
    </row>
    <row r="26" spans="1:25">
      <c r="I26" s="5" t="s">
        <v>187</v>
      </c>
      <c r="J26" s="5"/>
      <c r="K26" s="5"/>
      <c r="L26" s="5"/>
      <c r="M26" s="37"/>
    </row>
    <row r="27" spans="1:25">
      <c r="A27" s="19" t="s">
        <v>190</v>
      </c>
      <c r="I27" s="38"/>
      <c r="J27" s="33"/>
      <c r="K27" s="37"/>
      <c r="L27" s="37"/>
      <c r="M27" s="37"/>
    </row>
    <row r="28" spans="1:25">
      <c r="A28" s="5" t="s">
        <v>178</v>
      </c>
      <c r="B28" s="10" t="s">
        <v>179</v>
      </c>
      <c r="C28" s="10" t="s">
        <v>63</v>
      </c>
      <c r="D28" s="10" t="s">
        <v>64</v>
      </c>
      <c r="E28" s="10" t="s">
        <v>65</v>
      </c>
      <c r="F28" s="10" t="s">
        <v>66</v>
      </c>
      <c r="G28" s="10" t="s">
        <v>67</v>
      </c>
      <c r="I28" s="10" t="s">
        <v>178</v>
      </c>
      <c r="J28" s="10" t="s">
        <v>179</v>
      </c>
      <c r="K28" s="172" t="s">
        <v>65</v>
      </c>
      <c r="L28" s="173"/>
      <c r="M28" s="174"/>
      <c r="O28" s="10" t="s">
        <v>178</v>
      </c>
      <c r="P28" s="10" t="s">
        <v>179</v>
      </c>
      <c r="Q28" s="172" t="s">
        <v>66</v>
      </c>
      <c r="R28" s="173"/>
      <c r="S28" s="174"/>
      <c r="U28" s="10" t="s">
        <v>178</v>
      </c>
      <c r="V28" s="10" t="s">
        <v>179</v>
      </c>
      <c r="W28" s="170" t="s">
        <v>67</v>
      </c>
      <c r="X28" s="170"/>
      <c r="Y28" s="170"/>
    </row>
    <row r="29" spans="1:25">
      <c r="A29" s="20" t="s">
        <v>29</v>
      </c>
      <c r="B29" s="10">
        <v>1</v>
      </c>
      <c r="C29" s="21">
        <v>0.20100000000000001</v>
      </c>
      <c r="D29" s="21">
        <v>0.39500000000000002</v>
      </c>
      <c r="E29" s="22">
        <f>((20.2*C29)+(8.02*D29))*25/1000/0.2</f>
        <v>0.90351249999999994</v>
      </c>
      <c r="F29" s="22">
        <f>((12.7*D29)-(2.69*C29))*25/1000/0.2</f>
        <v>0.55947625000000001</v>
      </c>
      <c r="G29" s="22">
        <f>((22.9*C29)-(4.68*D29))*25/1000/0.2</f>
        <v>0.34428749999999991</v>
      </c>
      <c r="I29" s="10"/>
      <c r="J29" s="25"/>
      <c r="K29" s="26" t="s">
        <v>180</v>
      </c>
      <c r="L29" s="27" t="s">
        <v>181</v>
      </c>
      <c r="M29" s="26" t="s">
        <v>182</v>
      </c>
      <c r="O29" s="20"/>
      <c r="P29" s="25"/>
      <c r="Q29" s="27" t="s">
        <v>183</v>
      </c>
      <c r="R29" s="27" t="s">
        <v>181</v>
      </c>
      <c r="S29" s="26" t="s">
        <v>182</v>
      </c>
      <c r="U29" s="20"/>
      <c r="V29" s="25"/>
      <c r="W29" s="27" t="s">
        <v>183</v>
      </c>
      <c r="X29" s="27" t="s">
        <v>181</v>
      </c>
      <c r="Y29" s="26" t="s">
        <v>182</v>
      </c>
    </row>
    <row r="30" spans="1:25">
      <c r="A30" s="20" t="s">
        <v>30</v>
      </c>
      <c r="B30" s="10">
        <v>2</v>
      </c>
      <c r="C30" s="21">
        <v>0.38700000000000001</v>
      </c>
      <c r="D30" s="21">
        <v>0.70599999999999996</v>
      </c>
      <c r="E30" s="22">
        <f t="shared" ref="E30:E49" si="3">((20.2*C30)+(8.02*D30))*25/1000/0.2</f>
        <v>1.6849399999999999</v>
      </c>
      <c r="F30" s="22">
        <f t="shared" ref="F30:F49" si="4">((12.7*D30)-(2.69*C30))*25/1000/0.2</f>
        <v>0.99064624999999973</v>
      </c>
      <c r="G30" s="22">
        <f t="shared" ref="G30:G49" si="5">((22.9*C30)-(4.68*D30))*25/1000/0.2</f>
        <v>0.69477750000000005</v>
      </c>
      <c r="I30" s="20" t="s">
        <v>29</v>
      </c>
      <c r="J30" s="10">
        <v>1</v>
      </c>
      <c r="K30" s="28">
        <v>0.90351249999999994</v>
      </c>
      <c r="L30" s="28">
        <v>1.3836224999999998</v>
      </c>
      <c r="M30" s="28">
        <v>1.2564824999999997</v>
      </c>
      <c r="O30" s="20" t="s">
        <v>29</v>
      </c>
      <c r="P30" s="10">
        <v>1</v>
      </c>
      <c r="Q30" s="22">
        <v>0.55947625000000001</v>
      </c>
      <c r="R30" s="22">
        <v>0.760575</v>
      </c>
      <c r="S30" s="22">
        <v>0.74996999999999991</v>
      </c>
      <c r="U30" s="20" t="s">
        <v>29</v>
      </c>
      <c r="V30" s="10">
        <v>1</v>
      </c>
      <c r="W30" s="22">
        <v>0.34428749999999991</v>
      </c>
      <c r="X30" s="22">
        <v>0.6234599999999999</v>
      </c>
      <c r="Y30" s="22">
        <v>0.50686999999999982</v>
      </c>
    </row>
    <row r="31" spans="1:25">
      <c r="A31" s="20" t="s">
        <v>31</v>
      </c>
      <c r="B31" s="10">
        <v>3</v>
      </c>
      <c r="C31" s="21">
        <v>0.38500000000000001</v>
      </c>
      <c r="D31" s="21">
        <v>0.74299999999999999</v>
      </c>
      <c r="E31" s="22">
        <f t="shared" si="3"/>
        <v>1.7169824999999996</v>
      </c>
      <c r="F31" s="22">
        <f t="shared" si="4"/>
        <v>1.0500562499999999</v>
      </c>
      <c r="G31" s="22">
        <f t="shared" si="5"/>
        <v>0.66740749999999982</v>
      </c>
      <c r="I31" s="20" t="s">
        <v>30</v>
      </c>
      <c r="J31" s="10">
        <v>2</v>
      </c>
      <c r="K31" s="28">
        <v>1.6849399999999999</v>
      </c>
      <c r="L31" s="28">
        <v>0.78061249999999982</v>
      </c>
      <c r="M31" s="28">
        <v>0.99007000000000012</v>
      </c>
      <c r="O31" s="20" t="s">
        <v>30</v>
      </c>
      <c r="P31" s="10">
        <v>2</v>
      </c>
      <c r="Q31" s="22">
        <v>0.99064624999999973</v>
      </c>
      <c r="R31" s="22">
        <v>0.38653249999999989</v>
      </c>
      <c r="S31" s="22">
        <v>0.50148249999999994</v>
      </c>
      <c r="U31" s="20" t="s">
        <v>30</v>
      </c>
      <c r="V31" s="10">
        <v>2</v>
      </c>
      <c r="W31" s="22">
        <v>0.69477750000000005</v>
      </c>
      <c r="X31" s="22">
        <v>0.39432499999999987</v>
      </c>
      <c r="Y31" s="22">
        <v>0.48889500000000002</v>
      </c>
    </row>
    <row r="32" spans="1:25">
      <c r="A32" s="20" t="s">
        <v>191</v>
      </c>
      <c r="B32" s="10">
        <v>4</v>
      </c>
      <c r="C32" s="21">
        <v>0.30499999999999999</v>
      </c>
      <c r="D32" s="21">
        <v>0.57099999999999995</v>
      </c>
      <c r="E32" s="22">
        <f t="shared" si="3"/>
        <v>1.3425524999999998</v>
      </c>
      <c r="F32" s="22">
        <f t="shared" si="4"/>
        <v>0.80390624999999971</v>
      </c>
      <c r="G32" s="22">
        <f t="shared" si="5"/>
        <v>0.53902749999999999</v>
      </c>
      <c r="I32" s="20" t="s">
        <v>31</v>
      </c>
      <c r="J32" s="10">
        <v>3</v>
      </c>
      <c r="K32" s="28">
        <v>1.7169824999999996</v>
      </c>
      <c r="L32" s="28">
        <v>1.1320549999999998</v>
      </c>
      <c r="M32" s="28">
        <v>1.2886424999999997</v>
      </c>
      <c r="O32" s="20" t="s">
        <v>31</v>
      </c>
      <c r="P32" s="10">
        <v>3</v>
      </c>
      <c r="Q32" s="22">
        <v>1.0500562499999999</v>
      </c>
      <c r="R32" s="22">
        <v>0.69597874999999987</v>
      </c>
      <c r="S32" s="22">
        <v>0.66652124999999984</v>
      </c>
      <c r="U32" s="20" t="s">
        <v>31</v>
      </c>
      <c r="V32" s="10">
        <v>3</v>
      </c>
      <c r="W32" s="22">
        <v>0.66740749999999982</v>
      </c>
      <c r="X32" s="22">
        <v>0.43639249999999996</v>
      </c>
      <c r="Y32" s="22">
        <v>0.62251750000000006</v>
      </c>
    </row>
    <row r="33" spans="1:25">
      <c r="A33" s="20" t="s">
        <v>33</v>
      </c>
      <c r="B33" s="10">
        <v>5</v>
      </c>
      <c r="C33" s="21">
        <v>0.29699999999999999</v>
      </c>
      <c r="D33" s="21">
        <v>0.497</v>
      </c>
      <c r="E33" s="22">
        <f t="shared" si="3"/>
        <v>1.2481674999999999</v>
      </c>
      <c r="F33" s="22">
        <f t="shared" si="4"/>
        <v>0.68912124999999991</v>
      </c>
      <c r="G33" s="22">
        <f t="shared" si="5"/>
        <v>0.5594174999999999</v>
      </c>
      <c r="I33" s="20" t="s">
        <v>191</v>
      </c>
      <c r="J33" s="10">
        <v>4</v>
      </c>
      <c r="K33" s="28">
        <v>1.3425524999999998</v>
      </c>
      <c r="L33" s="28">
        <v>1.3841749999999999</v>
      </c>
      <c r="M33" s="28">
        <v>1.1947350000000001</v>
      </c>
      <c r="O33" s="20" t="s">
        <v>191</v>
      </c>
      <c r="P33" s="10">
        <v>4</v>
      </c>
      <c r="Q33" s="22">
        <v>0.80390624999999971</v>
      </c>
      <c r="R33" s="22">
        <v>0.86548249999999993</v>
      </c>
      <c r="S33" s="22">
        <v>0.67386374999999998</v>
      </c>
      <c r="U33" s="20" t="s">
        <v>191</v>
      </c>
      <c r="V33" s="10">
        <v>4</v>
      </c>
      <c r="W33" s="22">
        <v>0.53902749999999999</v>
      </c>
      <c r="X33" s="22">
        <v>0.51907499999999995</v>
      </c>
      <c r="Y33" s="22">
        <v>0.52122250000000003</v>
      </c>
    </row>
    <row r="34" spans="1:25">
      <c r="A34" s="20" t="s">
        <v>34</v>
      </c>
      <c r="B34" s="10">
        <v>6</v>
      </c>
      <c r="C34" s="21">
        <v>0.313</v>
      </c>
      <c r="D34" s="21">
        <v>0.59299999999999997</v>
      </c>
      <c r="E34" s="22">
        <f t="shared" si="3"/>
        <v>1.3848075</v>
      </c>
      <c r="F34" s="22">
        <f t="shared" si="4"/>
        <v>0.83614124999999995</v>
      </c>
      <c r="G34" s="22">
        <f t="shared" si="5"/>
        <v>0.54905749999999998</v>
      </c>
      <c r="I34" s="20" t="s">
        <v>33</v>
      </c>
      <c r="J34" s="10">
        <v>5</v>
      </c>
      <c r="K34" s="28">
        <v>1.2481674999999999</v>
      </c>
      <c r="L34" s="28">
        <v>1.10703</v>
      </c>
      <c r="M34" s="28">
        <v>1.1321675</v>
      </c>
      <c r="O34" s="20" t="s">
        <v>33</v>
      </c>
      <c r="P34" s="10">
        <v>5</v>
      </c>
      <c r="Q34" s="22">
        <v>0.68912124999999991</v>
      </c>
      <c r="R34" s="22">
        <v>0.64768124999999988</v>
      </c>
      <c r="S34" s="22">
        <v>0.67014874999999985</v>
      </c>
      <c r="U34" s="20" t="s">
        <v>33</v>
      </c>
      <c r="V34" s="10">
        <v>5</v>
      </c>
      <c r="W34" s="22">
        <v>0.5594174999999999</v>
      </c>
      <c r="X34" s="22">
        <v>0.45966750000000001</v>
      </c>
      <c r="Y34" s="22">
        <v>0.46234249999999993</v>
      </c>
    </row>
    <row r="35" spans="1:25">
      <c r="A35" s="20" t="s">
        <v>35</v>
      </c>
      <c r="B35" s="10">
        <v>7</v>
      </c>
      <c r="C35" s="21">
        <v>0.38300000000000001</v>
      </c>
      <c r="D35" s="21">
        <v>0.72499999999999998</v>
      </c>
      <c r="E35" s="22">
        <f t="shared" si="3"/>
        <v>1.6938874999999998</v>
      </c>
      <c r="F35" s="22">
        <f t="shared" si="4"/>
        <v>1.02215375</v>
      </c>
      <c r="G35" s="22">
        <f t="shared" si="5"/>
        <v>0.67221249999999988</v>
      </c>
      <c r="I35" s="20" t="s">
        <v>34</v>
      </c>
      <c r="J35" s="10">
        <v>6</v>
      </c>
      <c r="K35" s="28">
        <v>1.3848075</v>
      </c>
      <c r="L35" s="28">
        <v>1.2777599999999996</v>
      </c>
      <c r="M35" s="28">
        <v>1.1275249999999997</v>
      </c>
      <c r="O35" s="20" t="s">
        <v>34</v>
      </c>
      <c r="P35" s="10">
        <v>6</v>
      </c>
      <c r="Q35" s="22">
        <v>0.83614124999999995</v>
      </c>
      <c r="R35" s="22">
        <v>0.73164750000000001</v>
      </c>
      <c r="S35" s="22">
        <v>0.69313999999999987</v>
      </c>
      <c r="U35" s="20" t="s">
        <v>34</v>
      </c>
      <c r="V35" s="10">
        <v>6</v>
      </c>
      <c r="W35" s="22">
        <v>0.54905749999999998</v>
      </c>
      <c r="X35" s="22">
        <v>0.54648499999999989</v>
      </c>
      <c r="Y35" s="22">
        <v>0.43469999999999998</v>
      </c>
    </row>
    <row r="36" spans="1:25">
      <c r="A36" s="20" t="s">
        <v>29</v>
      </c>
      <c r="B36" s="10">
        <v>8</v>
      </c>
      <c r="C36" s="21">
        <v>0.33</v>
      </c>
      <c r="D36" s="21">
        <v>0.54900000000000004</v>
      </c>
      <c r="E36" s="22">
        <f t="shared" si="3"/>
        <v>1.3836224999999998</v>
      </c>
      <c r="F36" s="22">
        <f t="shared" si="4"/>
        <v>0.760575</v>
      </c>
      <c r="G36" s="22">
        <f t="shared" si="5"/>
        <v>0.6234599999999999</v>
      </c>
      <c r="I36" s="20" t="s">
        <v>35</v>
      </c>
      <c r="J36" s="10">
        <v>7</v>
      </c>
      <c r="K36" s="28">
        <v>1.6938874999999998</v>
      </c>
      <c r="L36" s="28">
        <v>1.44418</v>
      </c>
      <c r="M36" s="28">
        <v>1.1927624999999997</v>
      </c>
      <c r="O36" s="20" t="s">
        <v>35</v>
      </c>
      <c r="P36" s="10">
        <v>7</v>
      </c>
      <c r="Q36" s="22">
        <v>1.02215375</v>
      </c>
      <c r="R36" s="22">
        <v>0.87814374999999978</v>
      </c>
      <c r="S36" s="22">
        <v>0.77910749999999984</v>
      </c>
      <c r="U36" s="20" t="s">
        <v>35</v>
      </c>
      <c r="V36" s="10">
        <v>7</v>
      </c>
      <c r="W36" s="22">
        <v>0.67221249999999988</v>
      </c>
      <c r="X36" s="22">
        <v>0.56644249999999996</v>
      </c>
      <c r="Y36" s="22">
        <v>0.41397500000000004</v>
      </c>
    </row>
    <row r="37" spans="1:25">
      <c r="A37" s="20" t="s">
        <v>30</v>
      </c>
      <c r="B37" s="10">
        <v>9</v>
      </c>
      <c r="C37" s="21">
        <v>0.19600000000000001</v>
      </c>
      <c r="D37" s="21">
        <v>0.28499999999999998</v>
      </c>
      <c r="E37" s="22">
        <f t="shared" si="3"/>
        <v>0.78061249999999982</v>
      </c>
      <c r="F37" s="22">
        <f t="shared" si="4"/>
        <v>0.38653249999999989</v>
      </c>
      <c r="G37" s="22">
        <f t="shared" si="5"/>
        <v>0.39432499999999987</v>
      </c>
    </row>
    <row r="38" spans="1:25">
      <c r="A38" s="20" t="s">
        <v>31</v>
      </c>
      <c r="B38" s="10">
        <v>10</v>
      </c>
      <c r="C38" s="21">
        <v>0.253</v>
      </c>
      <c r="D38" s="21">
        <v>0.49199999999999999</v>
      </c>
      <c r="E38" s="22">
        <f t="shared" si="3"/>
        <v>1.1320549999999998</v>
      </c>
      <c r="F38" s="22">
        <f t="shared" si="4"/>
        <v>0.69597874999999987</v>
      </c>
      <c r="G38" s="22">
        <f t="shared" si="5"/>
        <v>0.43639249999999996</v>
      </c>
    </row>
    <row r="39" spans="1:25">
      <c r="A39" s="20" t="s">
        <v>191</v>
      </c>
      <c r="B39" s="10">
        <v>11</v>
      </c>
      <c r="C39" s="24">
        <v>0.30599999999999999</v>
      </c>
      <c r="D39" s="24">
        <v>0.61</v>
      </c>
      <c r="E39" s="22">
        <f t="shared" si="3"/>
        <v>1.3841749999999999</v>
      </c>
      <c r="F39" s="22">
        <f t="shared" si="4"/>
        <v>0.86548249999999993</v>
      </c>
      <c r="G39" s="22">
        <f t="shared" si="5"/>
        <v>0.51907499999999995</v>
      </c>
      <c r="I39" s="38"/>
      <c r="J39" s="33"/>
      <c r="K39" s="37"/>
      <c r="L39" s="37"/>
      <c r="M39" s="37"/>
    </row>
    <row r="40" spans="1:25">
      <c r="A40" s="20" t="s">
        <v>33</v>
      </c>
      <c r="B40" s="10">
        <v>12</v>
      </c>
      <c r="C40" s="24">
        <v>0.255</v>
      </c>
      <c r="D40" s="24">
        <v>0.46200000000000002</v>
      </c>
      <c r="E40" s="22">
        <f t="shared" si="3"/>
        <v>1.10703</v>
      </c>
      <c r="F40" s="22">
        <f t="shared" si="4"/>
        <v>0.64768124999999988</v>
      </c>
      <c r="G40" s="22">
        <f t="shared" si="5"/>
        <v>0.45966750000000001</v>
      </c>
      <c r="I40" s="38"/>
      <c r="J40" s="33"/>
      <c r="K40" s="37"/>
      <c r="L40" s="37"/>
      <c r="M40" s="37"/>
    </row>
    <row r="41" spans="1:25">
      <c r="A41" s="20" t="s">
        <v>34</v>
      </c>
      <c r="B41" s="10">
        <v>13</v>
      </c>
      <c r="C41" s="24">
        <v>0.29799999999999999</v>
      </c>
      <c r="D41" s="24">
        <v>0.52400000000000002</v>
      </c>
      <c r="E41" s="22">
        <f t="shared" si="3"/>
        <v>1.2777599999999996</v>
      </c>
      <c r="F41" s="22">
        <f t="shared" si="4"/>
        <v>0.73164750000000001</v>
      </c>
      <c r="G41" s="22">
        <f t="shared" si="5"/>
        <v>0.54648499999999989</v>
      </c>
      <c r="I41" s="39"/>
      <c r="J41" s="33"/>
      <c r="K41" s="37"/>
      <c r="L41" s="37"/>
      <c r="M41" s="37"/>
    </row>
    <row r="42" spans="1:25">
      <c r="A42" s="20" t="s">
        <v>35</v>
      </c>
      <c r="B42" s="10">
        <v>14</v>
      </c>
      <c r="C42" s="24">
        <v>0.32500000000000001</v>
      </c>
      <c r="D42" s="24">
        <v>0.622</v>
      </c>
      <c r="E42" s="22">
        <f t="shared" si="3"/>
        <v>1.44418</v>
      </c>
      <c r="F42" s="22">
        <f t="shared" si="4"/>
        <v>0.87814374999999978</v>
      </c>
      <c r="G42" s="22">
        <f t="shared" si="5"/>
        <v>0.56644249999999996</v>
      </c>
    </row>
    <row r="43" spans="1:25">
      <c r="A43" s="20" t="s">
        <v>29</v>
      </c>
      <c r="B43" s="10">
        <v>15</v>
      </c>
      <c r="C43" s="24">
        <v>0.28599999999999998</v>
      </c>
      <c r="D43" s="24">
        <v>0.53300000000000003</v>
      </c>
      <c r="E43" s="22">
        <f t="shared" si="3"/>
        <v>1.2564824999999997</v>
      </c>
      <c r="F43" s="22">
        <f t="shared" si="4"/>
        <v>0.74996999999999991</v>
      </c>
      <c r="G43" s="22">
        <f t="shared" si="5"/>
        <v>0.50686999999999982</v>
      </c>
    </row>
    <row r="44" spans="1:25">
      <c r="A44" s="20" t="s">
        <v>30</v>
      </c>
      <c r="B44" s="10">
        <v>16</v>
      </c>
      <c r="C44" s="24">
        <v>0.246</v>
      </c>
      <c r="D44" s="24">
        <v>0.36799999999999999</v>
      </c>
      <c r="E44" s="22">
        <f t="shared" si="3"/>
        <v>0.99007000000000012</v>
      </c>
      <c r="F44" s="22">
        <f t="shared" si="4"/>
        <v>0.50148249999999994</v>
      </c>
      <c r="G44" s="22">
        <f t="shared" si="5"/>
        <v>0.48889500000000002</v>
      </c>
    </row>
    <row r="45" spans="1:25">
      <c r="A45" s="20" t="s">
        <v>31</v>
      </c>
      <c r="B45" s="10">
        <v>17</v>
      </c>
      <c r="C45" s="24">
        <v>0.317</v>
      </c>
      <c r="D45" s="24">
        <v>0.48699999999999999</v>
      </c>
      <c r="E45" s="22">
        <f t="shared" si="3"/>
        <v>1.2886424999999997</v>
      </c>
      <c r="F45" s="22">
        <f t="shared" si="4"/>
        <v>0.66652124999999984</v>
      </c>
      <c r="G45" s="22">
        <f t="shared" si="5"/>
        <v>0.62251750000000006</v>
      </c>
    </row>
    <row r="46" spans="1:25">
      <c r="A46" s="20" t="s">
        <v>191</v>
      </c>
      <c r="B46" s="10">
        <v>18</v>
      </c>
      <c r="C46" s="24">
        <v>0.28100000000000003</v>
      </c>
      <c r="D46" s="24">
        <v>0.48399999999999999</v>
      </c>
      <c r="E46" s="22">
        <f t="shared" si="3"/>
        <v>1.1947350000000001</v>
      </c>
      <c r="F46" s="22">
        <f t="shared" si="4"/>
        <v>0.67386374999999998</v>
      </c>
      <c r="G46" s="22">
        <f t="shared" si="5"/>
        <v>0.52122250000000003</v>
      </c>
    </row>
    <row r="47" spans="1:25">
      <c r="A47" s="20" t="s">
        <v>33</v>
      </c>
      <c r="B47" s="10">
        <v>19</v>
      </c>
      <c r="C47" s="24">
        <v>0.25900000000000001</v>
      </c>
      <c r="D47" s="24">
        <v>0.47699999999999998</v>
      </c>
      <c r="E47" s="22">
        <f t="shared" si="3"/>
        <v>1.1321675</v>
      </c>
      <c r="F47" s="22">
        <f t="shared" si="4"/>
        <v>0.67014874999999985</v>
      </c>
      <c r="G47" s="22">
        <f t="shared" si="5"/>
        <v>0.46234249999999993</v>
      </c>
    </row>
    <row r="48" spans="1:25">
      <c r="A48" s="20" t="s">
        <v>34</v>
      </c>
      <c r="B48" s="10">
        <v>20</v>
      </c>
      <c r="C48" s="24">
        <v>0.252</v>
      </c>
      <c r="D48" s="24">
        <v>0.49</v>
      </c>
      <c r="E48" s="22">
        <f t="shared" si="3"/>
        <v>1.1275249999999997</v>
      </c>
      <c r="F48" s="22">
        <f t="shared" si="4"/>
        <v>0.69313999999999987</v>
      </c>
      <c r="G48" s="22">
        <f t="shared" si="5"/>
        <v>0.43469999999999998</v>
      </c>
    </row>
    <row r="49" spans="1:24">
      <c r="A49" s="20" t="s">
        <v>35</v>
      </c>
      <c r="B49" s="10">
        <v>21</v>
      </c>
      <c r="C49" s="24">
        <v>0.25600000000000001</v>
      </c>
      <c r="D49" s="24">
        <v>0.54500000000000004</v>
      </c>
      <c r="E49" s="22">
        <f t="shared" si="3"/>
        <v>1.1927624999999997</v>
      </c>
      <c r="F49" s="22">
        <f t="shared" si="4"/>
        <v>0.77910749999999984</v>
      </c>
      <c r="G49" s="22">
        <f t="shared" si="5"/>
        <v>0.41397500000000004</v>
      </c>
    </row>
    <row r="50" spans="1:24">
      <c r="Q50" s="40" t="s">
        <v>192</v>
      </c>
    </row>
    <row r="51" spans="1:24">
      <c r="A51" s="20" t="s">
        <v>188</v>
      </c>
      <c r="D51" s="40" t="s">
        <v>193</v>
      </c>
      <c r="G51" s="20" t="s">
        <v>194</v>
      </c>
      <c r="N51" s="20" t="s">
        <v>188</v>
      </c>
      <c r="T51" s="20" t="s">
        <v>194</v>
      </c>
    </row>
    <row r="52" spans="1:24">
      <c r="A52" s="20" t="s">
        <v>195</v>
      </c>
      <c r="C52" s="171" t="s">
        <v>124</v>
      </c>
      <c r="D52" s="171"/>
      <c r="G52" s="20" t="s">
        <v>196</v>
      </c>
      <c r="I52" s="171" t="s">
        <v>124</v>
      </c>
      <c r="J52" s="171"/>
      <c r="N52" s="20" t="s">
        <v>195</v>
      </c>
      <c r="P52" s="171" t="s">
        <v>124</v>
      </c>
      <c r="Q52" s="171"/>
      <c r="T52" s="20" t="s">
        <v>196</v>
      </c>
      <c r="V52" s="171" t="s">
        <v>124</v>
      </c>
      <c r="W52" s="171"/>
    </row>
    <row r="53" spans="1:24">
      <c r="A53" s="5" t="s">
        <v>178</v>
      </c>
      <c r="B53" s="10" t="s">
        <v>179</v>
      </c>
      <c r="C53" s="10" t="s">
        <v>176</v>
      </c>
      <c r="D53" s="10" t="s">
        <v>197</v>
      </c>
      <c r="E53" s="10" t="s">
        <v>198</v>
      </c>
      <c r="G53" s="5" t="s">
        <v>178</v>
      </c>
      <c r="H53" s="10" t="s">
        <v>179</v>
      </c>
      <c r="I53" s="10" t="s">
        <v>176</v>
      </c>
      <c r="J53" s="10" t="s">
        <v>197</v>
      </c>
      <c r="K53" s="10" t="s">
        <v>198</v>
      </c>
      <c r="N53" s="5" t="s">
        <v>178</v>
      </c>
      <c r="O53" s="10" t="s">
        <v>179</v>
      </c>
      <c r="P53" s="10" t="s">
        <v>176</v>
      </c>
      <c r="Q53" s="10" t="s">
        <v>197</v>
      </c>
      <c r="R53" s="10" t="s">
        <v>198</v>
      </c>
      <c r="T53" s="5" t="s">
        <v>178</v>
      </c>
      <c r="U53" s="10" t="s">
        <v>179</v>
      </c>
      <c r="V53" s="10" t="s">
        <v>176</v>
      </c>
      <c r="W53" s="10" t="s">
        <v>197</v>
      </c>
      <c r="X53" s="10" t="s">
        <v>198</v>
      </c>
    </row>
    <row r="54" spans="1:24">
      <c r="A54" s="20" t="s">
        <v>41</v>
      </c>
      <c r="B54" s="10">
        <v>1</v>
      </c>
      <c r="C54" s="22">
        <v>4.68</v>
      </c>
      <c r="D54" s="22">
        <v>5.68</v>
      </c>
      <c r="E54" s="22">
        <v>6.15</v>
      </c>
      <c r="G54" s="20" t="s">
        <v>29</v>
      </c>
      <c r="H54" s="10">
        <v>1</v>
      </c>
      <c r="I54" s="22">
        <v>5.03</v>
      </c>
      <c r="J54" s="22">
        <v>8.0399999999999991</v>
      </c>
      <c r="K54" s="22">
        <v>5.18</v>
      </c>
      <c r="N54" s="20" t="s">
        <v>41</v>
      </c>
      <c r="O54" s="10">
        <v>1</v>
      </c>
      <c r="P54" s="22">
        <v>6.69</v>
      </c>
      <c r="Q54" s="22">
        <v>6.01</v>
      </c>
      <c r="R54" s="22">
        <v>6.53</v>
      </c>
      <c r="T54" s="20" t="s">
        <v>29</v>
      </c>
      <c r="U54" s="10">
        <v>1</v>
      </c>
      <c r="V54" s="22">
        <v>7.8</v>
      </c>
      <c r="W54" s="22">
        <v>7.32</v>
      </c>
      <c r="X54" s="22">
        <v>4.9400000000000004</v>
      </c>
    </row>
    <row r="55" spans="1:24">
      <c r="A55" s="20" t="s">
        <v>42</v>
      </c>
      <c r="B55" s="10">
        <v>2</v>
      </c>
      <c r="C55" s="22">
        <v>4.4800000000000004</v>
      </c>
      <c r="D55" s="22">
        <v>6.96</v>
      </c>
      <c r="E55" s="22">
        <v>4.57</v>
      </c>
      <c r="G55" s="20" t="s">
        <v>30</v>
      </c>
      <c r="H55" s="10">
        <v>2</v>
      </c>
      <c r="I55" s="22">
        <v>5.08</v>
      </c>
      <c r="J55" s="22">
        <v>3.53</v>
      </c>
      <c r="K55" s="22">
        <v>4.5999999999999996</v>
      </c>
      <c r="N55" s="20" t="s">
        <v>42</v>
      </c>
      <c r="O55" s="10">
        <v>2</v>
      </c>
      <c r="P55" s="22">
        <v>7.25</v>
      </c>
      <c r="Q55" s="22">
        <v>6.73</v>
      </c>
      <c r="R55" s="22">
        <v>8.8000000000000007</v>
      </c>
      <c r="T55" s="20" t="s">
        <v>30</v>
      </c>
      <c r="U55" s="10">
        <v>2</v>
      </c>
      <c r="V55" s="22">
        <v>8.51</v>
      </c>
      <c r="W55" s="22">
        <v>7.54</v>
      </c>
      <c r="X55" s="22">
        <v>5.31</v>
      </c>
    </row>
    <row r="56" spans="1:24">
      <c r="A56" s="20" t="s">
        <v>43</v>
      </c>
      <c r="B56" s="10">
        <v>3</v>
      </c>
      <c r="C56" s="22">
        <v>3.62</v>
      </c>
      <c r="D56" s="22">
        <v>3.37</v>
      </c>
      <c r="E56" s="22">
        <v>4.8499999999999996</v>
      </c>
      <c r="G56" s="20" t="s">
        <v>31</v>
      </c>
      <c r="H56" s="10">
        <v>3</v>
      </c>
      <c r="I56" s="22">
        <v>2.75</v>
      </c>
      <c r="J56" s="22">
        <v>6.65</v>
      </c>
      <c r="K56" s="22">
        <v>4.99</v>
      </c>
      <c r="N56" s="20" t="s">
        <v>43</v>
      </c>
      <c r="O56" s="10">
        <v>3</v>
      </c>
      <c r="P56" s="22">
        <v>6.11</v>
      </c>
      <c r="Q56" s="22">
        <v>13.15</v>
      </c>
      <c r="R56" s="22">
        <v>10.25</v>
      </c>
      <c r="T56" s="20" t="s">
        <v>31</v>
      </c>
      <c r="U56" s="10">
        <v>3</v>
      </c>
      <c r="V56" s="22">
        <v>8.6300000000000008</v>
      </c>
      <c r="W56" s="22">
        <v>6.94</v>
      </c>
      <c r="X56" s="22">
        <v>5.93</v>
      </c>
    </row>
    <row r="57" spans="1:24">
      <c r="A57" s="20" t="s">
        <v>44</v>
      </c>
      <c r="B57" s="10">
        <v>4</v>
      </c>
      <c r="C57" s="22">
        <v>3.63</v>
      </c>
      <c r="D57" s="22">
        <v>4.5</v>
      </c>
      <c r="E57" s="22">
        <v>4.3899999999999997</v>
      </c>
      <c r="G57" s="20" t="s">
        <v>199</v>
      </c>
      <c r="H57" s="10">
        <v>4</v>
      </c>
      <c r="I57" s="22">
        <v>7.25</v>
      </c>
      <c r="J57" s="22">
        <v>6.26</v>
      </c>
      <c r="K57" s="22">
        <v>5.61</v>
      </c>
      <c r="N57" s="20" t="s">
        <v>44</v>
      </c>
      <c r="O57" s="10">
        <v>4</v>
      </c>
      <c r="P57" s="22">
        <v>12.97</v>
      </c>
      <c r="Q57" s="22">
        <v>7.65</v>
      </c>
      <c r="R57" s="22">
        <v>6.32</v>
      </c>
      <c r="T57" s="20" t="s">
        <v>199</v>
      </c>
      <c r="U57" s="10">
        <v>4</v>
      </c>
      <c r="V57" s="22">
        <v>8.83</v>
      </c>
      <c r="W57" s="22">
        <v>6.49</v>
      </c>
      <c r="X57" s="22">
        <v>7.32</v>
      </c>
    </row>
    <row r="58" spans="1:24">
      <c r="A58" s="20" t="s">
        <v>45</v>
      </c>
      <c r="B58" s="10">
        <v>5</v>
      </c>
      <c r="C58" s="22">
        <v>5.61</v>
      </c>
      <c r="D58" s="22">
        <v>3.38</v>
      </c>
      <c r="E58" s="22">
        <v>4.32</v>
      </c>
      <c r="G58" s="20" t="s">
        <v>33</v>
      </c>
      <c r="H58" s="10">
        <v>5</v>
      </c>
      <c r="I58" s="22">
        <v>6.09</v>
      </c>
      <c r="J58" s="22">
        <v>6.19</v>
      </c>
      <c r="K58" s="22">
        <v>4.75</v>
      </c>
      <c r="N58" s="20" t="s">
        <v>45</v>
      </c>
      <c r="O58" s="10">
        <v>5</v>
      </c>
      <c r="P58" s="22">
        <v>10.85</v>
      </c>
      <c r="Q58" s="22">
        <v>6.79</v>
      </c>
      <c r="R58" s="22">
        <v>6.1</v>
      </c>
      <c r="T58" s="20" t="s">
        <v>33</v>
      </c>
      <c r="U58" s="10">
        <v>5</v>
      </c>
      <c r="V58" s="22">
        <v>9.39</v>
      </c>
      <c r="W58" s="22">
        <v>7.46</v>
      </c>
      <c r="X58" s="22">
        <v>12.12</v>
      </c>
    </row>
    <row r="59" spans="1:24">
      <c r="A59" s="20" t="s">
        <v>46</v>
      </c>
      <c r="B59" s="10">
        <v>6</v>
      </c>
      <c r="C59" s="22">
        <v>4.91</v>
      </c>
      <c r="D59" s="22">
        <v>4.63</v>
      </c>
      <c r="E59" s="22">
        <v>4.03</v>
      </c>
      <c r="G59" s="20" t="s">
        <v>34</v>
      </c>
      <c r="H59" s="10">
        <v>6</v>
      </c>
      <c r="I59" s="22">
        <v>3.54</v>
      </c>
      <c r="J59" s="22">
        <v>6.3</v>
      </c>
      <c r="K59" s="22">
        <v>4.62</v>
      </c>
      <c r="N59" s="20" t="s">
        <v>46</v>
      </c>
      <c r="O59" s="10">
        <v>6</v>
      </c>
      <c r="P59" s="22">
        <v>8.8699999999999992</v>
      </c>
      <c r="Q59" s="22">
        <v>15.95</v>
      </c>
      <c r="R59" s="22">
        <v>7.95</v>
      </c>
      <c r="T59" s="20" t="s">
        <v>34</v>
      </c>
      <c r="U59" s="10">
        <v>6</v>
      </c>
      <c r="V59" s="22">
        <v>11.4</v>
      </c>
      <c r="W59" s="22">
        <v>7.33</v>
      </c>
      <c r="X59" s="22">
        <v>7.33</v>
      </c>
    </row>
    <row r="60" spans="1:24">
      <c r="A60" s="20" t="s">
        <v>189</v>
      </c>
      <c r="B60" s="10">
        <v>7</v>
      </c>
      <c r="C60" s="22">
        <v>6.56</v>
      </c>
      <c r="D60" s="22">
        <v>4.17</v>
      </c>
      <c r="E60" s="22">
        <v>4.3</v>
      </c>
      <c r="G60" s="20" t="s">
        <v>35</v>
      </c>
      <c r="H60" s="10">
        <v>7</v>
      </c>
      <c r="I60" s="22">
        <v>3.03</v>
      </c>
      <c r="J60" s="22">
        <v>5.49</v>
      </c>
      <c r="K60" s="22">
        <v>5.01</v>
      </c>
      <c r="N60" s="20" t="s">
        <v>189</v>
      </c>
      <c r="O60" s="10">
        <v>7</v>
      </c>
      <c r="P60" s="22">
        <v>7.69</v>
      </c>
      <c r="Q60" s="22">
        <v>8.24</v>
      </c>
      <c r="R60" s="22">
        <v>9.35</v>
      </c>
      <c r="T60" s="20" t="s">
        <v>35</v>
      </c>
      <c r="U60" s="10">
        <v>7</v>
      </c>
      <c r="V60" s="22">
        <v>11.28</v>
      </c>
      <c r="W60" s="22">
        <v>7.53</v>
      </c>
      <c r="X60" s="22">
        <v>7.32</v>
      </c>
    </row>
    <row r="61" spans="1:24">
      <c r="A61" s="38"/>
      <c r="B61" s="33"/>
      <c r="C61" s="41"/>
      <c r="D61" s="41"/>
      <c r="E61" s="36"/>
      <c r="N61" s="38"/>
      <c r="O61" s="33"/>
      <c r="P61" s="41"/>
      <c r="Q61" s="41"/>
      <c r="R61" s="36"/>
    </row>
    <row r="62" spans="1:24">
      <c r="A62" s="20" t="s">
        <v>200</v>
      </c>
      <c r="C62" s="171" t="s">
        <v>125</v>
      </c>
      <c r="D62" s="171"/>
      <c r="G62" s="20" t="s">
        <v>194</v>
      </c>
      <c r="N62" s="20" t="s">
        <v>200</v>
      </c>
      <c r="P62" s="171" t="s">
        <v>125</v>
      </c>
      <c r="Q62" s="171"/>
      <c r="T62" s="20" t="s">
        <v>194</v>
      </c>
    </row>
    <row r="63" spans="1:24">
      <c r="A63" s="5" t="s">
        <v>178</v>
      </c>
      <c r="B63" s="10" t="s">
        <v>179</v>
      </c>
      <c r="C63" s="10" t="s">
        <v>176</v>
      </c>
      <c r="D63" s="10" t="s">
        <v>197</v>
      </c>
      <c r="E63" s="10" t="s">
        <v>198</v>
      </c>
      <c r="G63" s="20" t="s">
        <v>196</v>
      </c>
      <c r="I63" s="171" t="s">
        <v>125</v>
      </c>
      <c r="J63" s="171"/>
      <c r="N63" s="5" t="s">
        <v>178</v>
      </c>
      <c r="O63" s="10" t="s">
        <v>179</v>
      </c>
      <c r="P63" s="10" t="s">
        <v>176</v>
      </c>
      <c r="Q63" s="10" t="s">
        <v>197</v>
      </c>
      <c r="R63" s="10" t="s">
        <v>198</v>
      </c>
      <c r="T63" s="20" t="s">
        <v>196</v>
      </c>
      <c r="V63" s="171" t="s">
        <v>125</v>
      </c>
      <c r="W63" s="171"/>
    </row>
    <row r="64" spans="1:24">
      <c r="A64" s="20" t="s">
        <v>41</v>
      </c>
      <c r="B64" s="10">
        <v>1</v>
      </c>
      <c r="C64" s="22">
        <v>67.27</v>
      </c>
      <c r="D64" s="22">
        <v>70.430000000000007</v>
      </c>
      <c r="E64" s="22">
        <v>72.069999999999993</v>
      </c>
      <c r="G64" s="5" t="s">
        <v>178</v>
      </c>
      <c r="H64" s="10" t="s">
        <v>179</v>
      </c>
      <c r="I64" s="10" t="s">
        <v>176</v>
      </c>
      <c r="J64" s="10" t="s">
        <v>197</v>
      </c>
      <c r="K64" s="10" t="s">
        <v>198</v>
      </c>
      <c r="N64" s="20" t="s">
        <v>41</v>
      </c>
      <c r="O64" s="10">
        <v>1</v>
      </c>
      <c r="P64" s="22">
        <v>43.75</v>
      </c>
      <c r="Q64" s="22">
        <v>35.159999999999997</v>
      </c>
      <c r="R64" s="22">
        <v>54.67</v>
      </c>
      <c r="T64" s="5" t="s">
        <v>178</v>
      </c>
      <c r="U64" s="10" t="s">
        <v>179</v>
      </c>
      <c r="V64" s="10" t="s">
        <v>176</v>
      </c>
      <c r="W64" s="10" t="s">
        <v>197</v>
      </c>
      <c r="X64" s="10" t="s">
        <v>198</v>
      </c>
    </row>
    <row r="65" spans="1:24">
      <c r="A65" s="20" t="s">
        <v>42</v>
      </c>
      <c r="B65" s="10">
        <v>2</v>
      </c>
      <c r="C65" s="22">
        <v>62.73</v>
      </c>
      <c r="D65" s="22">
        <v>44.72</v>
      </c>
      <c r="E65" s="22">
        <v>37.53</v>
      </c>
      <c r="G65" s="20" t="s">
        <v>29</v>
      </c>
      <c r="H65" s="10">
        <v>1</v>
      </c>
      <c r="I65" s="22">
        <v>62.09</v>
      </c>
      <c r="J65" s="22">
        <v>58.86</v>
      </c>
      <c r="K65" s="22">
        <v>61.7</v>
      </c>
      <c r="N65" s="20" t="s">
        <v>42</v>
      </c>
      <c r="O65" s="10">
        <v>2</v>
      </c>
      <c r="P65" s="22">
        <v>62.02</v>
      </c>
      <c r="Q65" s="22">
        <v>41.57</v>
      </c>
      <c r="R65" s="22">
        <v>48.42</v>
      </c>
      <c r="T65" s="20" t="s">
        <v>29</v>
      </c>
      <c r="U65" s="10">
        <v>1</v>
      </c>
      <c r="V65" s="22">
        <v>43.11</v>
      </c>
      <c r="W65" s="22">
        <v>40.28</v>
      </c>
      <c r="X65" s="22">
        <v>32.020000000000003</v>
      </c>
    </row>
    <row r="66" spans="1:24">
      <c r="A66" s="20" t="s">
        <v>43</v>
      </c>
      <c r="B66" s="10">
        <v>3</v>
      </c>
      <c r="C66" s="22">
        <v>69.67</v>
      </c>
      <c r="D66" s="22">
        <v>40.119999999999997</v>
      </c>
      <c r="E66" s="22">
        <v>57.59</v>
      </c>
      <c r="G66" s="20" t="s">
        <v>30</v>
      </c>
      <c r="H66" s="10">
        <v>2</v>
      </c>
      <c r="I66" s="22">
        <v>62.75</v>
      </c>
      <c r="J66" s="22">
        <v>53.12</v>
      </c>
      <c r="K66" s="22">
        <v>66.989999999999995</v>
      </c>
      <c r="N66" s="20" t="s">
        <v>43</v>
      </c>
      <c r="O66" s="10">
        <v>3</v>
      </c>
      <c r="P66" s="22">
        <v>53.2</v>
      </c>
      <c r="Q66" s="22">
        <v>41.16</v>
      </c>
      <c r="R66" s="22">
        <v>43.45</v>
      </c>
      <c r="T66" s="20" t="s">
        <v>30</v>
      </c>
      <c r="U66" s="10">
        <v>2</v>
      </c>
      <c r="V66" s="22">
        <v>39.75</v>
      </c>
      <c r="W66" s="22">
        <v>39.06</v>
      </c>
      <c r="X66" s="22">
        <v>31.03</v>
      </c>
    </row>
    <row r="67" spans="1:24">
      <c r="A67" s="20" t="s">
        <v>44</v>
      </c>
      <c r="B67" s="10">
        <v>4</v>
      </c>
      <c r="C67" s="22">
        <v>57.58</v>
      </c>
      <c r="D67" s="22">
        <v>53.93</v>
      </c>
      <c r="E67" s="22">
        <v>57.42</v>
      </c>
      <c r="G67" s="20" t="s">
        <v>31</v>
      </c>
      <c r="H67" s="10">
        <v>3</v>
      </c>
      <c r="I67" s="22">
        <v>59.49</v>
      </c>
      <c r="J67" s="22">
        <v>56.97</v>
      </c>
      <c r="K67" s="22">
        <v>56.53</v>
      </c>
      <c r="N67" s="20" t="s">
        <v>44</v>
      </c>
      <c r="O67" s="10">
        <v>4</v>
      </c>
      <c r="P67" s="22">
        <v>48.89</v>
      </c>
      <c r="Q67" s="22">
        <v>60.03</v>
      </c>
      <c r="R67" s="22">
        <v>48.39</v>
      </c>
      <c r="T67" s="20" t="s">
        <v>31</v>
      </c>
      <c r="U67" s="10">
        <v>3</v>
      </c>
      <c r="V67" s="22">
        <v>39.17</v>
      </c>
      <c r="W67" s="22">
        <v>40.49</v>
      </c>
      <c r="X67" s="22">
        <v>38.58</v>
      </c>
    </row>
    <row r="68" spans="1:24">
      <c r="A68" s="20" t="s">
        <v>45</v>
      </c>
      <c r="B68" s="10">
        <v>5</v>
      </c>
      <c r="C68" s="22">
        <v>59.56</v>
      </c>
      <c r="D68" s="22">
        <v>60.1</v>
      </c>
      <c r="E68" s="22">
        <v>45.28</v>
      </c>
      <c r="G68" s="20" t="s">
        <v>199</v>
      </c>
      <c r="H68" s="10">
        <v>4</v>
      </c>
      <c r="I68" s="22">
        <v>31.1</v>
      </c>
      <c r="J68" s="22">
        <v>59.77</v>
      </c>
      <c r="K68" s="22">
        <v>58.08</v>
      </c>
      <c r="N68" s="20" t="s">
        <v>45</v>
      </c>
      <c r="O68" s="10">
        <v>5</v>
      </c>
      <c r="P68" s="22">
        <v>56.74</v>
      </c>
      <c r="Q68" s="22">
        <v>38.49</v>
      </c>
      <c r="R68" s="22">
        <v>53.24</v>
      </c>
      <c r="T68" s="20" t="s">
        <v>199</v>
      </c>
      <c r="U68" s="10">
        <v>4</v>
      </c>
      <c r="V68" s="22">
        <v>34.99</v>
      </c>
      <c r="W68" s="22">
        <v>36.36</v>
      </c>
      <c r="X68" s="22">
        <v>41.3</v>
      </c>
    </row>
    <row r="69" spans="1:24">
      <c r="A69" s="20" t="s">
        <v>46</v>
      </c>
      <c r="B69" s="10">
        <v>6</v>
      </c>
      <c r="C69" s="22">
        <v>48.51</v>
      </c>
      <c r="D69" s="22">
        <v>40.020000000000003</v>
      </c>
      <c r="E69" s="22">
        <v>31.97</v>
      </c>
      <c r="G69" s="20" t="s">
        <v>33</v>
      </c>
      <c r="H69" s="10">
        <v>5</v>
      </c>
      <c r="I69" s="22">
        <v>40.1</v>
      </c>
      <c r="J69" s="22">
        <v>56.4</v>
      </c>
      <c r="K69" s="22">
        <v>48.21</v>
      </c>
      <c r="N69" s="20" t="s">
        <v>46</v>
      </c>
      <c r="O69" s="10">
        <v>6</v>
      </c>
      <c r="P69" s="22">
        <v>56.87</v>
      </c>
      <c r="Q69" s="22">
        <v>35.520000000000003</v>
      </c>
      <c r="R69" s="22">
        <v>42.4</v>
      </c>
      <c r="T69" s="20" t="s">
        <v>33</v>
      </c>
      <c r="U69" s="10">
        <v>5</v>
      </c>
      <c r="V69" s="22">
        <v>48.89</v>
      </c>
      <c r="W69" s="22">
        <v>50.78</v>
      </c>
      <c r="X69" s="22">
        <v>45.5</v>
      </c>
    </row>
    <row r="70" spans="1:24">
      <c r="A70" s="20" t="s">
        <v>189</v>
      </c>
      <c r="B70" s="10">
        <v>7</v>
      </c>
      <c r="C70" s="22">
        <v>59.25</v>
      </c>
      <c r="D70" s="22">
        <v>69.03</v>
      </c>
      <c r="E70" s="22">
        <v>44.83</v>
      </c>
      <c r="G70" s="20" t="s">
        <v>34</v>
      </c>
      <c r="H70" s="10">
        <v>6</v>
      </c>
      <c r="I70" s="22">
        <v>52.65</v>
      </c>
      <c r="J70" s="22">
        <v>35.57</v>
      </c>
      <c r="K70" s="22">
        <v>53.1</v>
      </c>
      <c r="N70" s="20" t="s">
        <v>189</v>
      </c>
      <c r="O70" s="10">
        <v>7</v>
      </c>
      <c r="P70" s="22">
        <v>96.31</v>
      </c>
      <c r="Q70" s="22">
        <v>41.86</v>
      </c>
      <c r="R70" s="22">
        <v>47.25</v>
      </c>
      <c r="T70" s="20" t="s">
        <v>34</v>
      </c>
      <c r="U70" s="10">
        <v>6</v>
      </c>
      <c r="V70" s="22">
        <v>68.400000000000006</v>
      </c>
      <c r="W70" s="22">
        <v>43.31</v>
      </c>
      <c r="X70" s="22">
        <v>41.22</v>
      </c>
    </row>
    <row r="71" spans="1:24">
      <c r="A71" s="38"/>
      <c r="B71" s="33"/>
      <c r="C71" s="35"/>
      <c r="D71" s="35"/>
      <c r="G71" s="20" t="s">
        <v>35</v>
      </c>
      <c r="H71" s="10">
        <v>7</v>
      </c>
      <c r="I71" s="22">
        <v>30.7</v>
      </c>
      <c r="J71" s="22">
        <v>65.88</v>
      </c>
      <c r="K71" s="22">
        <v>42.54</v>
      </c>
      <c r="N71" s="38"/>
      <c r="O71" s="33"/>
      <c r="P71" s="35"/>
      <c r="Q71" s="35"/>
      <c r="T71" s="20" t="s">
        <v>35</v>
      </c>
      <c r="U71" s="10">
        <v>7</v>
      </c>
      <c r="V71" s="22">
        <v>44.81</v>
      </c>
      <c r="W71" s="22">
        <v>43.11</v>
      </c>
      <c r="X71" s="22">
        <v>45.53</v>
      </c>
    </row>
    <row r="72" spans="1:24">
      <c r="A72" s="38"/>
      <c r="B72" s="33"/>
      <c r="C72" s="35"/>
      <c r="D72" s="35"/>
      <c r="Q72" s="38"/>
      <c r="R72" s="33"/>
      <c r="S72" s="35"/>
      <c r="T72" s="35"/>
    </row>
    <row r="73" spans="1:24">
      <c r="A73" s="38" t="s">
        <v>201</v>
      </c>
      <c r="B73" s="33"/>
      <c r="C73" s="35"/>
      <c r="D73" s="35"/>
      <c r="F73" s="182" t="s">
        <v>202</v>
      </c>
      <c r="G73" s="182"/>
      <c r="H73" s="42" t="s">
        <v>188</v>
      </c>
      <c r="M73" s="182" t="s">
        <v>202</v>
      </c>
      <c r="N73" s="182"/>
      <c r="O73" s="42" t="s">
        <v>190</v>
      </c>
      <c r="S73" s="35"/>
      <c r="T73" s="35"/>
    </row>
    <row r="74" spans="1:24">
      <c r="A74" s="38"/>
      <c r="B74" s="33"/>
      <c r="C74" s="35"/>
      <c r="D74" s="35"/>
    </row>
    <row r="75" spans="1:24" ht="30">
      <c r="A75" s="10" t="s">
        <v>203</v>
      </c>
      <c r="B75" s="10" t="s">
        <v>204</v>
      </c>
      <c r="C75" s="10" t="s">
        <v>205</v>
      </c>
      <c r="D75" s="10" t="s">
        <v>206</v>
      </c>
      <c r="F75" s="43" t="s">
        <v>203</v>
      </c>
      <c r="G75" s="43" t="s">
        <v>207</v>
      </c>
      <c r="H75" s="10" t="s">
        <v>208</v>
      </c>
      <c r="I75" s="10" t="s">
        <v>209</v>
      </c>
      <c r="J75" s="43" t="s">
        <v>210</v>
      </c>
      <c r="K75" s="10" t="s">
        <v>211</v>
      </c>
      <c r="M75" s="43" t="s">
        <v>203</v>
      </c>
      <c r="N75" s="43" t="s">
        <v>207</v>
      </c>
      <c r="O75" s="43" t="s">
        <v>208</v>
      </c>
      <c r="P75" s="43" t="s">
        <v>209</v>
      </c>
      <c r="Q75" s="43" t="s">
        <v>210</v>
      </c>
      <c r="R75" s="10" t="s">
        <v>211</v>
      </c>
    </row>
    <row r="76" spans="1:24">
      <c r="A76" s="16">
        <v>1</v>
      </c>
      <c r="B76" s="12" t="s">
        <v>212</v>
      </c>
      <c r="C76" s="44">
        <v>0.69</v>
      </c>
      <c r="D76" s="44">
        <v>8.0399999999999991</v>
      </c>
      <c r="F76" s="16">
        <v>1</v>
      </c>
      <c r="G76" s="45">
        <f>(182.414+30.6)</f>
        <v>213.01399999999998</v>
      </c>
      <c r="H76" s="44">
        <f>(28.12+15.63)</f>
        <v>43.75</v>
      </c>
      <c r="I76" s="44">
        <f>(7.54+5.36)</f>
        <v>12.9</v>
      </c>
      <c r="J76" s="44">
        <f>(240.81+156.55)</f>
        <v>397.36</v>
      </c>
      <c r="K76" s="44">
        <f>(3.73+2.92)</f>
        <v>6.65</v>
      </c>
      <c r="M76" s="16">
        <v>1</v>
      </c>
      <c r="N76" s="45">
        <f>(191.61+43.9)</f>
        <v>235.51000000000002</v>
      </c>
      <c r="O76" s="44">
        <f>(27.69+18.62)</f>
        <v>46.31</v>
      </c>
      <c r="P76" s="44">
        <f>(8.41+5.58)</f>
        <v>13.99</v>
      </c>
      <c r="Q76" s="44">
        <f>(205.05+132.06)</f>
        <v>337.11</v>
      </c>
      <c r="R76" s="44">
        <f>(3.29+3.34)</f>
        <v>6.63</v>
      </c>
    </row>
    <row r="77" spans="1:24">
      <c r="A77" s="16"/>
      <c r="B77" s="12" t="s">
        <v>213</v>
      </c>
      <c r="C77" s="44">
        <v>0.57999999999999996</v>
      </c>
      <c r="D77" s="44">
        <v>8.06</v>
      </c>
      <c r="F77" s="16">
        <v>2</v>
      </c>
      <c r="G77" s="45">
        <f>(265.8+82.64)</f>
        <v>348.44</v>
      </c>
      <c r="H77" s="44">
        <f>(28.05+18.07)</f>
        <v>46.120000000000005</v>
      </c>
      <c r="I77" s="44">
        <f>(8.82+7.34)</f>
        <v>16.16</v>
      </c>
      <c r="J77" s="44">
        <f>(235.12+149.39)</f>
        <v>384.51</v>
      </c>
      <c r="K77" s="44">
        <f>(3.18+2.46)</f>
        <v>5.6400000000000006</v>
      </c>
      <c r="M77" s="16">
        <v>2</v>
      </c>
      <c r="N77" s="45">
        <f>(233.96+149.25)</f>
        <v>383.21000000000004</v>
      </c>
      <c r="O77" s="44">
        <f>(28.39+27.87)</f>
        <v>56.260000000000005</v>
      </c>
      <c r="P77" s="44">
        <f>(9.73+8.28)</f>
        <v>18.009999999999998</v>
      </c>
      <c r="Q77" s="44">
        <f>(203.52+204.97)</f>
        <v>408.49</v>
      </c>
      <c r="R77" s="44">
        <f>(2.92+3.37)</f>
        <v>6.29</v>
      </c>
    </row>
    <row r="78" spans="1:24">
      <c r="A78" s="16">
        <v>2</v>
      </c>
      <c r="B78" s="12" t="s">
        <v>212</v>
      </c>
      <c r="C78" s="44">
        <v>0.8</v>
      </c>
      <c r="D78" s="44">
        <v>8.01</v>
      </c>
      <c r="F78" s="16">
        <v>3</v>
      </c>
      <c r="G78" s="45">
        <f>(203.05+51.33)</f>
        <v>254.38</v>
      </c>
      <c r="H78" s="44">
        <f>(27.96+17.3)</f>
        <v>45.260000000000005</v>
      </c>
      <c r="I78" s="44">
        <f>(8.32+6.55)</f>
        <v>14.870000000000001</v>
      </c>
      <c r="J78" s="44">
        <f>(219.82+135.83)</f>
        <v>355.65</v>
      </c>
      <c r="K78" s="44">
        <f>(3.36+2.64)</f>
        <v>6</v>
      </c>
      <c r="M78" s="16">
        <v>3</v>
      </c>
      <c r="N78" s="45">
        <f>(251.58+73.15)</f>
        <v>324.73</v>
      </c>
      <c r="O78" s="44">
        <f>(29.32+22.72)</f>
        <v>52.04</v>
      </c>
      <c r="P78" s="44">
        <f>(9.72+6.84)</f>
        <v>16.560000000000002</v>
      </c>
      <c r="Q78" s="44">
        <f>(227.13+136.46)</f>
        <v>363.59000000000003</v>
      </c>
      <c r="R78" s="44">
        <f>(3.02+3.32)</f>
        <v>6.34</v>
      </c>
    </row>
    <row r="79" spans="1:24">
      <c r="A79" s="16"/>
      <c r="B79" s="12" t="s">
        <v>213</v>
      </c>
      <c r="C79" s="44">
        <v>0.68</v>
      </c>
      <c r="D79" s="44">
        <v>7.25</v>
      </c>
      <c r="F79" s="16">
        <v>4</v>
      </c>
      <c r="G79" s="45">
        <f>(179.63+3.42)</f>
        <v>183.04999999999998</v>
      </c>
      <c r="H79" s="44">
        <f>(27.96+5.4)</f>
        <v>33.36</v>
      </c>
      <c r="I79" s="44">
        <f>(7.9+2.55)</f>
        <v>10.45</v>
      </c>
      <c r="J79" s="46">
        <f>(158.79+154.85)</f>
        <v>313.64</v>
      </c>
      <c r="K79" s="44">
        <f>(3.54+2.11)</f>
        <v>5.65</v>
      </c>
      <c r="M79" s="16">
        <v>4</v>
      </c>
      <c r="N79" s="45">
        <f>(193.71+37.77)</f>
        <v>231.48000000000002</v>
      </c>
      <c r="O79" s="44">
        <f>(27.92+17.73)</f>
        <v>45.650000000000006</v>
      </c>
      <c r="P79" s="44">
        <f>(8.35+5.07)</f>
        <v>13.42</v>
      </c>
      <c r="Q79" s="46">
        <f>(178.89+126.91)</f>
        <v>305.79999999999995</v>
      </c>
      <c r="R79" s="44">
        <f>(3.54+3.5)</f>
        <v>7.04</v>
      </c>
    </row>
    <row r="80" spans="1:24">
      <c r="A80" s="16">
        <v>3</v>
      </c>
      <c r="B80" s="12" t="s">
        <v>212</v>
      </c>
      <c r="C80" s="44">
        <v>0.96</v>
      </c>
      <c r="D80" s="44">
        <v>7.65</v>
      </c>
      <c r="F80" s="16">
        <v>5</v>
      </c>
      <c r="G80" s="45">
        <f>(217.03+92.89)</f>
        <v>309.92</v>
      </c>
      <c r="H80" s="44">
        <f>(23.84+27.19)</f>
        <v>51.03</v>
      </c>
      <c r="I80" s="44">
        <f>(10.56+8)</f>
        <v>18.560000000000002</v>
      </c>
      <c r="J80" s="44">
        <f>(158.79+154.85)</f>
        <v>313.64</v>
      </c>
      <c r="K80" s="44">
        <f>(2.26+3.4)</f>
        <v>5.66</v>
      </c>
      <c r="M80" s="16">
        <v>5</v>
      </c>
      <c r="N80" s="45">
        <f>(246.26+22.43)</f>
        <v>268.69</v>
      </c>
      <c r="O80" s="44">
        <f>(27.8+11.63)</f>
        <v>39.43</v>
      </c>
      <c r="P80" s="44">
        <f>(9.92+4.85)</f>
        <v>14.77</v>
      </c>
      <c r="Q80" s="44">
        <f>(162.47+80.19)</f>
        <v>242.66</v>
      </c>
      <c r="R80" s="44">
        <f>(2.8+2.4)</f>
        <v>5.1999999999999993</v>
      </c>
    </row>
    <row r="81" spans="1:18">
      <c r="A81" s="16"/>
      <c r="B81" s="12" t="s">
        <v>213</v>
      </c>
      <c r="C81" s="44">
        <v>1.02</v>
      </c>
      <c r="D81" s="44">
        <v>7.55</v>
      </c>
      <c r="F81" s="16">
        <v>6</v>
      </c>
      <c r="G81" s="45">
        <f>(185.66+38.38)</f>
        <v>224.04</v>
      </c>
      <c r="H81" s="44">
        <f>(27.94+18.28)</f>
        <v>46.22</v>
      </c>
      <c r="I81" s="44">
        <f>(7.92+5.22)</f>
        <v>13.14</v>
      </c>
      <c r="J81" s="44">
        <f>(215.4+128.99)</f>
        <v>344.39</v>
      </c>
      <c r="K81" s="44">
        <f>(3.53+3.5)</f>
        <v>7.0299999999999994</v>
      </c>
      <c r="M81" s="16">
        <v>6</v>
      </c>
      <c r="N81" s="45">
        <f>(204.03+91.49)</f>
        <v>295.52</v>
      </c>
      <c r="O81" s="44">
        <f>(27.57+26.47)</f>
        <v>54.04</v>
      </c>
      <c r="P81" s="44">
        <f>(8.47+6.48)</f>
        <v>14.950000000000001</v>
      </c>
      <c r="Q81" s="44">
        <f>(191.11+184.26)</f>
        <v>375.37</v>
      </c>
      <c r="R81" s="44">
        <f>(3.25+4.08)</f>
        <v>7.33</v>
      </c>
    </row>
    <row r="82" spans="1:18">
      <c r="A82" s="16">
        <v>4</v>
      </c>
      <c r="B82" s="12" t="s">
        <v>212</v>
      </c>
      <c r="C82" s="44">
        <v>0.65</v>
      </c>
      <c r="D82" s="44">
        <v>8.25</v>
      </c>
      <c r="F82" s="16">
        <v>7</v>
      </c>
      <c r="G82" s="45">
        <v>123.23</v>
      </c>
      <c r="H82" s="44">
        <v>28.03</v>
      </c>
      <c r="I82" s="44">
        <v>6.09</v>
      </c>
      <c r="J82" s="44">
        <v>218.38</v>
      </c>
      <c r="K82" s="44">
        <v>4.5999999999999996</v>
      </c>
      <c r="M82" s="16">
        <v>7</v>
      </c>
      <c r="N82" s="45">
        <f>(180.64+115.19)</f>
        <v>295.83</v>
      </c>
      <c r="O82" s="44">
        <f>(28.33+27.92)</f>
        <v>56.25</v>
      </c>
      <c r="P82" s="44">
        <f>(7.73+7.05)</f>
        <v>14.780000000000001</v>
      </c>
      <c r="Q82" s="44">
        <f>(194.4+209.69)</f>
        <v>404.09000000000003</v>
      </c>
      <c r="R82" s="44">
        <f>(3.67+3.96)</f>
        <v>7.63</v>
      </c>
    </row>
    <row r="83" spans="1:18">
      <c r="A83" s="16"/>
      <c r="B83" s="12" t="s">
        <v>213</v>
      </c>
      <c r="C83" s="44">
        <v>0.72</v>
      </c>
      <c r="D83" s="44">
        <v>8.1300000000000008</v>
      </c>
      <c r="F83" s="16">
        <v>8</v>
      </c>
      <c r="G83" s="45">
        <v>137.68</v>
      </c>
      <c r="H83" s="44">
        <v>28.05</v>
      </c>
      <c r="I83" s="44">
        <v>6.67</v>
      </c>
      <c r="J83" s="44">
        <v>222.53</v>
      </c>
      <c r="K83" s="44">
        <v>4.21</v>
      </c>
      <c r="M83" s="16">
        <v>8</v>
      </c>
      <c r="N83" s="45">
        <f>(207.55+19.18)</f>
        <v>226.73000000000002</v>
      </c>
      <c r="O83" s="44">
        <f>(27.89+12.59)</f>
        <v>40.480000000000004</v>
      </c>
      <c r="P83" s="44">
        <f>(8.83+4.13)</f>
        <v>12.96</v>
      </c>
      <c r="Q83" s="44">
        <f>(188.6+95.76)</f>
        <v>284.36</v>
      </c>
      <c r="R83" s="44">
        <f>(3.16+3.05)</f>
        <v>6.21</v>
      </c>
    </row>
    <row r="84" spans="1:18">
      <c r="A84" s="16">
        <v>5</v>
      </c>
      <c r="B84" s="12" t="s">
        <v>212</v>
      </c>
      <c r="C84" s="44">
        <v>0.91</v>
      </c>
      <c r="D84" s="44">
        <v>8.0500000000000007</v>
      </c>
      <c r="F84" s="16">
        <v>9</v>
      </c>
      <c r="G84" s="45">
        <f>(220.47+47.28)</f>
        <v>267.75</v>
      </c>
      <c r="H84" s="44">
        <f>(28.03+18.1)</f>
        <v>46.13</v>
      </c>
      <c r="I84" s="44">
        <f>(8.87+6.08)</f>
        <v>14.95</v>
      </c>
      <c r="J84" s="44">
        <f>(227.38+136.13)</f>
        <v>363.51</v>
      </c>
      <c r="K84" s="44">
        <f>(3.16+2.98)</f>
        <v>6.1400000000000006</v>
      </c>
      <c r="M84" s="16">
        <v>9</v>
      </c>
      <c r="N84" s="45">
        <f>(237.56+46.78)</f>
        <v>284.34000000000003</v>
      </c>
      <c r="O84" s="44">
        <f>(27.55+18.37)</f>
        <v>45.92</v>
      </c>
      <c r="P84" s="44">
        <f>(10.12+5.49)</f>
        <v>15.61</v>
      </c>
      <c r="Q84" s="44">
        <f>(187.23+117.06)</f>
        <v>304.28999999999996</v>
      </c>
      <c r="R84" s="44">
        <f>(2.72+3.35)</f>
        <v>6.07</v>
      </c>
    </row>
    <row r="85" spans="1:18">
      <c r="A85" s="16"/>
      <c r="B85" s="12" t="s">
        <v>213</v>
      </c>
      <c r="C85" s="44">
        <v>0.66</v>
      </c>
      <c r="D85" s="44">
        <v>8.1199999999999992</v>
      </c>
      <c r="F85" s="16">
        <v>10</v>
      </c>
      <c r="G85" s="45">
        <f>(195.39+38.96)</f>
        <v>234.35</v>
      </c>
      <c r="H85" s="44">
        <f>(28.05+15.42)</f>
        <v>43.47</v>
      </c>
      <c r="I85" s="44">
        <f>(8.16+5.74)</f>
        <v>13.9</v>
      </c>
      <c r="J85" s="44">
        <f>(230.36+124.13)</f>
        <v>354.49</v>
      </c>
      <c r="K85" s="44">
        <f>(3.44+2.69)</f>
        <v>6.13</v>
      </c>
      <c r="M85" s="16">
        <v>10</v>
      </c>
      <c r="N85" s="45">
        <f>(199.98+45.32)</f>
        <v>245.29999999999998</v>
      </c>
      <c r="O85" s="44">
        <f>(27.87+17.35)</f>
        <v>45.22</v>
      </c>
      <c r="P85" s="44">
        <f>(8.26+5.19)</f>
        <v>13.45</v>
      </c>
      <c r="Q85" s="44">
        <f>(171.98+115.29)</f>
        <v>287.27</v>
      </c>
      <c r="R85" s="44">
        <f>(3.37+3.54)</f>
        <v>6.91</v>
      </c>
    </row>
    <row r="86" spans="1:18">
      <c r="A86" s="16">
        <v>6</v>
      </c>
      <c r="B86" s="12" t="s">
        <v>212</v>
      </c>
      <c r="C86" s="44">
        <v>0.69</v>
      </c>
      <c r="D86" s="44">
        <v>7.89</v>
      </c>
      <c r="F86" s="16">
        <v>11</v>
      </c>
      <c r="G86" s="45">
        <f>(194.47+43.16)</f>
        <v>237.63</v>
      </c>
      <c r="H86" s="44">
        <f>(27.99+19.78)</f>
        <v>47.769999999999996</v>
      </c>
      <c r="I86" s="44">
        <f>(8.26+5.47)</f>
        <v>13.73</v>
      </c>
      <c r="J86" s="44">
        <f>(224.05+152.11)</f>
        <v>376.16</v>
      </c>
      <c r="K86" s="44">
        <f>(3.39+3.61)</f>
        <v>7</v>
      </c>
      <c r="M86" s="16">
        <v>11</v>
      </c>
      <c r="N86" s="45">
        <f>(214.77+47.47)</f>
        <v>262.24</v>
      </c>
      <c r="O86" s="44">
        <f>(27.87+26.28)</f>
        <v>54.150000000000006</v>
      </c>
      <c r="P86" s="44">
        <f>(9.33+7.27)</f>
        <v>16.600000000000001</v>
      </c>
      <c r="Q86" s="44">
        <f>(210.37+174.07)</f>
        <v>384.44</v>
      </c>
      <c r="R86" s="44">
        <f>(2.99+3.61)</f>
        <v>6.6</v>
      </c>
    </row>
    <row r="87" spans="1:18">
      <c r="A87" s="16"/>
      <c r="B87" s="12" t="s">
        <v>213</v>
      </c>
      <c r="C87" s="44">
        <v>0.68</v>
      </c>
      <c r="D87" s="44">
        <v>7.89</v>
      </c>
      <c r="F87" s="16">
        <v>12</v>
      </c>
      <c r="G87" s="45">
        <f>(222.33+47.12)</f>
        <v>269.45</v>
      </c>
      <c r="H87" s="44">
        <f>(27.99+18.23)</f>
        <v>46.22</v>
      </c>
      <c r="I87" s="44">
        <f>(9.49+5.89)</f>
        <v>15.379999999999999</v>
      </c>
      <c r="J87" s="44">
        <f>(218.88+138.14)</f>
        <v>357.02</v>
      </c>
      <c r="K87" s="44">
        <f>(2.95+3.1)</f>
        <v>6.0500000000000007</v>
      </c>
      <c r="M87" s="16">
        <v>12</v>
      </c>
      <c r="N87" s="45">
        <f>(258.07+118.45)</f>
        <v>376.52</v>
      </c>
      <c r="O87" s="44">
        <f>(27.94+27.85)</f>
        <v>55.790000000000006</v>
      </c>
      <c r="P87" s="44">
        <f>(10.81+8.74)</f>
        <v>19.55</v>
      </c>
      <c r="Q87" s="44">
        <f>(196.56+194.03)</f>
        <v>390.59000000000003</v>
      </c>
      <c r="R87" s="44">
        <f>(2.59+3.19)</f>
        <v>5.7799999999999994</v>
      </c>
    </row>
    <row r="88" spans="1:18">
      <c r="A88" s="16">
        <v>7</v>
      </c>
      <c r="B88" s="12" t="s">
        <v>212</v>
      </c>
      <c r="C88" s="44">
        <v>0.77</v>
      </c>
      <c r="D88" s="44">
        <v>6.66</v>
      </c>
      <c r="F88" s="16">
        <v>13</v>
      </c>
      <c r="G88" s="45">
        <f>(245.09+56.3)</f>
        <v>301.39</v>
      </c>
      <c r="H88" s="44">
        <f>(27.99+18.51)</f>
        <v>46.5</v>
      </c>
      <c r="I88" s="44">
        <v>17.2</v>
      </c>
      <c r="J88" s="44">
        <f>(219.85+145.45)</f>
        <v>365.29999999999995</v>
      </c>
      <c r="K88" s="44">
        <f>(2.8+2.57)</f>
        <v>5.3699999999999992</v>
      </c>
      <c r="M88" s="16">
        <v>13</v>
      </c>
      <c r="N88" s="45">
        <f>(233.13+69.66)</f>
        <v>302.78999999999996</v>
      </c>
      <c r="O88" s="44">
        <f>(27.92+25.29)</f>
        <v>53.21</v>
      </c>
      <c r="P88" s="44">
        <f>(9.5+6.5)</f>
        <v>16</v>
      </c>
      <c r="Q88" s="44">
        <f>(220.06+194.05)</f>
        <v>414.11</v>
      </c>
      <c r="R88" s="44">
        <f>(2.94+3.89)</f>
        <v>6.83</v>
      </c>
    </row>
    <row r="89" spans="1:18">
      <c r="A89" s="16"/>
      <c r="B89" s="12" t="s">
        <v>213</v>
      </c>
      <c r="C89" s="44">
        <v>0.71</v>
      </c>
      <c r="D89" s="44">
        <v>7.82</v>
      </c>
      <c r="F89" s="16">
        <v>14</v>
      </c>
      <c r="G89" s="45">
        <f>(216.5+84.69)</f>
        <v>301.19</v>
      </c>
      <c r="H89" s="44">
        <f>(29.5+23.04)</f>
        <v>52.54</v>
      </c>
      <c r="I89" s="44">
        <f>(8.24+7.63)</f>
        <v>15.870000000000001</v>
      </c>
      <c r="J89" s="44">
        <f>(247.89+176.97)</f>
        <v>424.86</v>
      </c>
      <c r="K89" s="44">
        <f>(3.58+3.02)</f>
        <v>6.6</v>
      </c>
      <c r="M89" s="16">
        <v>14</v>
      </c>
      <c r="N89" s="45">
        <f>(212.13+55.31)</f>
        <v>267.44</v>
      </c>
      <c r="O89" s="44">
        <f>(27.94+19.78)</f>
        <v>47.72</v>
      </c>
      <c r="P89" s="44">
        <f>(8.77+6.21)</f>
        <v>14.98</v>
      </c>
      <c r="Q89" s="44">
        <f>(190.57+140.2)</f>
        <v>330.77</v>
      </c>
      <c r="R89" s="44">
        <f>(3.18+3.19)</f>
        <v>6.37</v>
      </c>
    </row>
    <row r="90" spans="1:18">
      <c r="A90" s="16">
        <v>8</v>
      </c>
      <c r="B90" s="12" t="s">
        <v>212</v>
      </c>
      <c r="C90" s="44">
        <v>0.78</v>
      </c>
      <c r="D90" s="44">
        <v>8.0399999999999991</v>
      </c>
      <c r="F90" s="16">
        <v>15</v>
      </c>
      <c r="G90" s="45">
        <f>(262.15+61.48)</f>
        <v>323.63</v>
      </c>
      <c r="H90" s="44">
        <f>(27.92+22.43)</f>
        <v>50.35</v>
      </c>
      <c r="I90" s="44">
        <f>(11.13+6.21)</f>
        <v>17.34</v>
      </c>
      <c r="J90" s="44">
        <f>(235.67+175.94)</f>
        <v>411.61</v>
      </c>
      <c r="K90" s="44">
        <f>(2.51+3.61)</f>
        <v>6.1199999999999992</v>
      </c>
      <c r="M90" s="16">
        <v>15</v>
      </c>
      <c r="N90" s="45">
        <f>(293.4+95.36)</f>
        <v>388.76</v>
      </c>
      <c r="O90" s="44">
        <f>(27.76+24.76)</f>
        <v>52.52</v>
      </c>
      <c r="P90" s="44">
        <f>(10.47+7.8)</f>
        <v>18.27</v>
      </c>
      <c r="Q90" s="44">
        <f>(206.11+175.55)</f>
        <v>381.66</v>
      </c>
      <c r="R90" s="44">
        <f>(2.65+3.18)</f>
        <v>5.83</v>
      </c>
    </row>
    <row r="91" spans="1:18">
      <c r="A91" s="16"/>
      <c r="B91" s="12" t="s">
        <v>213</v>
      </c>
      <c r="C91" s="44">
        <v>0.75</v>
      </c>
      <c r="D91" s="44">
        <v>7.98</v>
      </c>
      <c r="F91" s="16">
        <v>16</v>
      </c>
      <c r="G91" s="45">
        <f>(152.91+37.06)</f>
        <v>189.97</v>
      </c>
      <c r="H91" s="44">
        <f>(27.99+17.03)</f>
        <v>45.019999999999996</v>
      </c>
      <c r="I91" s="44">
        <f>(6.45+4.42)</f>
        <v>10.870000000000001</v>
      </c>
      <c r="J91" s="44">
        <f>(229.91+147.29)</f>
        <v>377.2</v>
      </c>
      <c r="K91" s="44">
        <f>(4.34+3.85)</f>
        <v>8.19</v>
      </c>
      <c r="M91" s="16">
        <v>16</v>
      </c>
      <c r="N91" s="45">
        <f>(202.51+116.96)</f>
        <v>319.46999999999997</v>
      </c>
      <c r="O91" s="44">
        <f>(27.89+27.42)</f>
        <v>55.31</v>
      </c>
      <c r="P91" s="44">
        <f>(8.61+6.16)</f>
        <v>14.77</v>
      </c>
      <c r="Q91" s="44">
        <f>(197.03+193.15)</f>
        <v>390.18</v>
      </c>
      <c r="R91" s="44">
        <f>(3.24+4.45)</f>
        <v>7.69</v>
      </c>
    </row>
    <row r="92" spans="1:18">
      <c r="A92" s="16">
        <v>9</v>
      </c>
      <c r="B92" s="12" t="s">
        <v>212</v>
      </c>
      <c r="C92" s="44">
        <v>0.82</v>
      </c>
      <c r="D92" s="44">
        <v>8.01</v>
      </c>
      <c r="F92" s="16">
        <v>17</v>
      </c>
      <c r="G92" s="45">
        <f>(231.95+40.03)</f>
        <v>271.98</v>
      </c>
      <c r="H92" s="44">
        <f>(27.92+18.53)</f>
        <v>46.45</v>
      </c>
      <c r="I92" s="44">
        <f>(9.78+5.84)</f>
        <v>15.62</v>
      </c>
      <c r="J92" s="44">
        <f>(234.49+153.87)</f>
        <v>388.36</v>
      </c>
      <c r="K92" s="44">
        <f>(2.86+3.17)</f>
        <v>6.0299999999999994</v>
      </c>
      <c r="M92" s="16">
        <v>17</v>
      </c>
      <c r="N92" s="45">
        <f>(274.25+128.29)</f>
        <v>402.53999999999996</v>
      </c>
      <c r="O92" s="44">
        <f>(27.85+27.85)</f>
        <v>55.7</v>
      </c>
      <c r="P92" s="44">
        <f>(10.67+8.73)</f>
        <v>19.399999999999999</v>
      </c>
      <c r="Q92" s="44">
        <f>(157.63+213.14)</f>
        <v>370.77</v>
      </c>
      <c r="R92" s="44">
        <f>(2.61+3.19)</f>
        <v>5.8</v>
      </c>
    </row>
    <row r="93" spans="1:18">
      <c r="A93" s="16"/>
      <c r="B93" s="12" t="s">
        <v>213</v>
      </c>
      <c r="C93" s="44">
        <v>0.75</v>
      </c>
      <c r="D93" s="44">
        <v>8.0500000000000007</v>
      </c>
      <c r="F93" s="16">
        <v>18</v>
      </c>
      <c r="G93" s="45">
        <f>(182.61+32.29)</f>
        <v>214.9</v>
      </c>
      <c r="H93" s="44">
        <f>(27.94+15.76)</f>
        <v>43.7</v>
      </c>
      <c r="I93" s="44">
        <f>(7.87+5.05)</f>
        <v>12.92</v>
      </c>
      <c r="J93" s="44">
        <f>(240.79+11.14)</f>
        <v>251.93</v>
      </c>
      <c r="K93" s="44">
        <f>(3.55+3.12)</f>
        <v>6.67</v>
      </c>
      <c r="M93" s="16">
        <v>18</v>
      </c>
      <c r="N93" s="45">
        <f>(192.41+41.78)</f>
        <v>234.19</v>
      </c>
      <c r="O93" s="44">
        <f>(28.26+19.71)</f>
        <v>47.97</v>
      </c>
      <c r="P93" s="44">
        <f>(8.2+5.58)</f>
        <v>13.78</v>
      </c>
      <c r="Q93" s="44">
        <f>(195.74+156.96)</f>
        <v>352.70000000000005</v>
      </c>
      <c r="R93" s="44">
        <f>(3.44+3.53)</f>
        <v>6.97</v>
      </c>
    </row>
    <row r="94" spans="1:18">
      <c r="F94" s="16">
        <v>19</v>
      </c>
      <c r="G94" s="45">
        <f>(184.56+9.19)</f>
        <v>193.75</v>
      </c>
      <c r="H94" s="44">
        <f>(28.01+8.28)</f>
        <v>36.29</v>
      </c>
      <c r="I94" s="44">
        <f>(8.04+2.96)</f>
        <v>11</v>
      </c>
      <c r="J94" s="44">
        <f>(230.79+72.49)</f>
        <v>303.27999999999997</v>
      </c>
      <c r="K94" s="44">
        <f>(3.48+2.8)</f>
        <v>6.2799999999999994</v>
      </c>
      <c r="M94" s="16">
        <v>19</v>
      </c>
      <c r="N94" s="45">
        <f>(181.62+60.24)</f>
        <v>241.86</v>
      </c>
      <c r="O94" s="44">
        <f>(27.87+21.18)</f>
        <v>49.05</v>
      </c>
      <c r="P94" s="44">
        <f>(8.1+5.76)</f>
        <v>13.86</v>
      </c>
      <c r="Q94" s="44">
        <f>(214.65+150.73)</f>
        <v>365.38</v>
      </c>
      <c r="R94" s="44">
        <f>(3.44+3.68)</f>
        <v>7.12</v>
      </c>
    </row>
    <row r="95" spans="1:18">
      <c r="F95" s="16">
        <v>20</v>
      </c>
      <c r="G95" s="45">
        <f>(207.3+25.22)</f>
        <v>232.52</v>
      </c>
      <c r="H95" s="44">
        <f>(27.92+12.63)</f>
        <v>40.550000000000004</v>
      </c>
      <c r="I95" s="44">
        <f>(8.73+4.88)</f>
        <v>13.61</v>
      </c>
      <c r="J95" s="44">
        <f>(230.95+96.62)</f>
        <v>327.57</v>
      </c>
      <c r="K95" s="44">
        <f>(3.2+2.59)</f>
        <v>5.79</v>
      </c>
      <c r="M95" s="16">
        <v>20</v>
      </c>
      <c r="N95" s="45">
        <f>(153.4+107.95)</f>
        <v>261.35000000000002</v>
      </c>
      <c r="O95" s="44">
        <f>(27.94+27.92)</f>
        <v>55.86</v>
      </c>
      <c r="P95" s="44">
        <f>(6.86+6.33)</f>
        <v>13.190000000000001</v>
      </c>
      <c r="Q95" s="44">
        <f>(206.77+219.42)</f>
        <v>426.19</v>
      </c>
      <c r="R95" s="44">
        <f>(4.07+4.41)</f>
        <v>8.48</v>
      </c>
    </row>
    <row r="96" spans="1:18">
      <c r="F96" s="16">
        <v>21</v>
      </c>
      <c r="G96" s="45">
        <f>(187.94+12.99)</f>
        <v>200.93</v>
      </c>
      <c r="H96" s="44">
        <f>(28.03+11.63)</f>
        <v>39.660000000000004</v>
      </c>
      <c r="I96" s="44">
        <f>(7.87+2.94)</f>
        <v>10.81</v>
      </c>
      <c r="J96" s="44">
        <f>(237.52+88.03)</f>
        <v>325.55</v>
      </c>
      <c r="K96" s="44">
        <f>(3.56+3.95)</f>
        <v>7.51</v>
      </c>
      <c r="M96" s="16">
        <v>21</v>
      </c>
      <c r="N96" s="45">
        <f>(205.47+105.63)</f>
        <v>311.10000000000002</v>
      </c>
      <c r="O96" s="44">
        <f>(27.87+27.51)</f>
        <v>55.38</v>
      </c>
      <c r="P96" s="44">
        <f>(8.52+7.33)</f>
        <v>15.85</v>
      </c>
      <c r="Q96" s="44">
        <f>(211.38+204.52)</f>
        <v>415.9</v>
      </c>
      <c r="R96" s="44">
        <f>(3.27+3.75)</f>
        <v>7.02</v>
      </c>
    </row>
    <row r="99" spans="1:17">
      <c r="A99" s="5" t="s">
        <v>214</v>
      </c>
      <c r="B99" s="5" t="s">
        <v>188</v>
      </c>
      <c r="C99" s="170" t="s">
        <v>215</v>
      </c>
      <c r="D99" s="170"/>
      <c r="E99" s="170"/>
      <c r="F99" s="170"/>
      <c r="G99" s="23"/>
      <c r="H99" s="172" t="s">
        <v>215</v>
      </c>
      <c r="I99" s="173"/>
      <c r="J99" s="173"/>
      <c r="K99" s="173"/>
      <c r="L99" s="174"/>
      <c r="M99" s="172" t="s">
        <v>215</v>
      </c>
      <c r="N99" s="173"/>
      <c r="O99" s="173"/>
      <c r="P99" s="173"/>
      <c r="Q99" s="174"/>
    </row>
    <row r="100" spans="1:17">
      <c r="A100" s="23"/>
      <c r="B100" s="23"/>
      <c r="C100" s="170" t="s">
        <v>183</v>
      </c>
      <c r="D100" s="170"/>
      <c r="E100" s="170"/>
      <c r="F100" s="170"/>
      <c r="G100" s="5"/>
      <c r="H100" s="170" t="s">
        <v>181</v>
      </c>
      <c r="I100" s="170"/>
      <c r="J100" s="170"/>
      <c r="K100" s="170"/>
      <c r="L100" s="5"/>
      <c r="M100" s="170" t="s">
        <v>182</v>
      </c>
      <c r="N100" s="170"/>
      <c r="O100" s="170"/>
      <c r="P100" s="170"/>
      <c r="Q100" s="23"/>
    </row>
    <row r="101" spans="1:17">
      <c r="A101" s="10" t="s">
        <v>216</v>
      </c>
      <c r="B101" s="10" t="s">
        <v>188</v>
      </c>
      <c r="C101" s="10">
        <v>1</v>
      </c>
      <c r="D101" s="10">
        <v>2</v>
      </c>
      <c r="E101" s="10">
        <v>3</v>
      </c>
      <c r="F101" s="10">
        <v>4</v>
      </c>
      <c r="G101" s="10" t="s">
        <v>217</v>
      </c>
      <c r="H101" s="10">
        <v>1</v>
      </c>
      <c r="I101" s="10">
        <v>2</v>
      </c>
      <c r="J101" s="10">
        <v>3</v>
      </c>
      <c r="K101" s="10">
        <v>4</v>
      </c>
      <c r="L101" s="10" t="s">
        <v>217</v>
      </c>
      <c r="M101" s="10">
        <v>1</v>
      </c>
      <c r="N101" s="10">
        <v>2</v>
      </c>
      <c r="O101" s="10">
        <v>3</v>
      </c>
      <c r="P101" s="10">
        <v>4</v>
      </c>
      <c r="Q101" s="10" t="s">
        <v>217</v>
      </c>
    </row>
    <row r="102" spans="1:17">
      <c r="A102" s="10">
        <v>1</v>
      </c>
      <c r="B102" s="5" t="s">
        <v>41</v>
      </c>
      <c r="C102" s="47">
        <v>2.302</v>
      </c>
      <c r="D102" s="47">
        <v>3.0920000000000001</v>
      </c>
      <c r="E102" s="47">
        <v>2.4780000000000002</v>
      </c>
      <c r="F102" s="47">
        <v>2.1779999999999999</v>
      </c>
      <c r="G102" s="48">
        <f>SUM(C102:F102)</f>
        <v>10.050000000000001</v>
      </c>
      <c r="H102" s="47">
        <v>2.0099999999999998</v>
      </c>
      <c r="I102" s="47">
        <v>1.4339999999999999</v>
      </c>
      <c r="J102" s="47">
        <v>2.3319999999999999</v>
      </c>
      <c r="K102" s="47">
        <v>2.8919999999999999</v>
      </c>
      <c r="L102" s="49">
        <f>SUM(H102:K102)</f>
        <v>8.6679999999999993</v>
      </c>
      <c r="M102" s="47">
        <v>2.7519999999999998</v>
      </c>
      <c r="N102" s="47">
        <v>1.3879999999999999</v>
      </c>
      <c r="O102" s="47">
        <v>1.9059999999999999</v>
      </c>
      <c r="P102" s="47">
        <v>3.004</v>
      </c>
      <c r="Q102" s="49">
        <f>SUM(M102:P102)</f>
        <v>9.0499999999999989</v>
      </c>
    </row>
    <row r="103" spans="1:17">
      <c r="A103" s="10">
        <v>2</v>
      </c>
      <c r="B103" s="5" t="s">
        <v>218</v>
      </c>
      <c r="C103" s="47">
        <v>2.36</v>
      </c>
      <c r="D103" s="47">
        <v>2.4180000000000001</v>
      </c>
      <c r="E103" s="47">
        <v>2.8239999999999998</v>
      </c>
      <c r="F103" s="47">
        <v>2.3980000000000001</v>
      </c>
      <c r="G103" s="48">
        <f t="shared" ref="G103:G108" si="6">SUM(C103:F103)</f>
        <v>10</v>
      </c>
      <c r="H103" s="47">
        <v>2.4860000000000002</v>
      </c>
      <c r="I103" s="47">
        <v>2.6179999999999999</v>
      </c>
      <c r="J103" s="47">
        <v>1.8740000000000001</v>
      </c>
      <c r="K103" s="47">
        <v>3.2040000000000002</v>
      </c>
      <c r="L103" s="49">
        <f t="shared" ref="L103:L108" si="7">SUM(H103:K103)</f>
        <v>10.182</v>
      </c>
      <c r="M103" s="47">
        <v>1.966</v>
      </c>
      <c r="N103" s="47">
        <v>1.24</v>
      </c>
      <c r="O103" s="47">
        <v>1.6619999999999999</v>
      </c>
      <c r="P103" s="47">
        <v>2.2639999999999998</v>
      </c>
      <c r="Q103" s="49">
        <f t="shared" ref="Q103:Q108" si="8">SUM(M103:P103)</f>
        <v>7.1319999999999997</v>
      </c>
    </row>
    <row r="104" spans="1:17">
      <c r="A104" s="10">
        <v>3</v>
      </c>
      <c r="B104" s="5" t="s">
        <v>219</v>
      </c>
      <c r="C104" s="47">
        <v>2.9340000000000002</v>
      </c>
      <c r="D104" s="47">
        <v>2.97</v>
      </c>
      <c r="E104" s="47">
        <v>2.9740000000000002</v>
      </c>
      <c r="F104" s="47">
        <v>3.3959999999999999</v>
      </c>
      <c r="G104" s="48">
        <f t="shared" si="6"/>
        <v>12.274000000000001</v>
      </c>
      <c r="H104" s="47">
        <v>3.9380000000000002</v>
      </c>
      <c r="I104" s="47">
        <v>3.3239999999999998</v>
      </c>
      <c r="J104" s="47">
        <v>3.9260000000000002</v>
      </c>
      <c r="K104" s="47">
        <v>4.0999999999999996</v>
      </c>
      <c r="L104" s="49">
        <f t="shared" si="7"/>
        <v>15.288</v>
      </c>
      <c r="M104" s="47">
        <v>3.5</v>
      </c>
      <c r="N104" s="47">
        <v>2.2040000000000002</v>
      </c>
      <c r="O104" s="47">
        <v>3.4119999999999999</v>
      </c>
      <c r="P104" s="47">
        <v>4.6879999999999997</v>
      </c>
      <c r="Q104" s="49">
        <f t="shared" si="8"/>
        <v>13.803999999999998</v>
      </c>
    </row>
    <row r="105" spans="1:17">
      <c r="A105" s="10">
        <v>4</v>
      </c>
      <c r="B105" s="5" t="s">
        <v>220</v>
      </c>
      <c r="C105" s="47">
        <v>3.4420000000000002</v>
      </c>
      <c r="D105" s="47">
        <v>2.1419999999999999</v>
      </c>
      <c r="E105" s="47">
        <v>2.1</v>
      </c>
      <c r="F105" s="47">
        <v>2.694</v>
      </c>
      <c r="G105" s="48">
        <f t="shared" si="6"/>
        <v>10.378</v>
      </c>
      <c r="H105" s="47">
        <v>1.748</v>
      </c>
      <c r="I105" s="47">
        <v>0.77800000000000002</v>
      </c>
      <c r="J105" s="47">
        <v>1.1319999999999999</v>
      </c>
      <c r="K105" s="47">
        <v>2.194</v>
      </c>
      <c r="L105" s="49">
        <f t="shared" si="7"/>
        <v>5.8519999999999994</v>
      </c>
      <c r="M105" s="47">
        <v>3.1339999999999999</v>
      </c>
      <c r="N105" s="47">
        <v>1.766</v>
      </c>
      <c r="O105" s="47">
        <v>1.958</v>
      </c>
      <c r="P105" s="47">
        <v>2.7679999999999998</v>
      </c>
      <c r="Q105" s="49">
        <f t="shared" si="8"/>
        <v>9.6260000000000012</v>
      </c>
    </row>
    <row r="106" spans="1:17">
      <c r="A106" s="10">
        <v>5</v>
      </c>
      <c r="B106" s="5" t="s">
        <v>45</v>
      </c>
      <c r="C106" s="47">
        <v>1.6919999999999999</v>
      </c>
      <c r="D106" s="47">
        <v>1.502</v>
      </c>
      <c r="E106" s="47">
        <v>1.8460000000000001</v>
      </c>
      <c r="F106" s="47">
        <v>1.3580000000000001</v>
      </c>
      <c r="G106" s="48">
        <f t="shared" si="6"/>
        <v>6.3979999999999997</v>
      </c>
      <c r="H106" s="47">
        <v>2.42</v>
      </c>
      <c r="I106" s="47">
        <v>2.524</v>
      </c>
      <c r="J106" s="47">
        <v>2.5299999999999998</v>
      </c>
      <c r="K106" s="47">
        <v>2.6259999999999999</v>
      </c>
      <c r="L106" s="49">
        <f t="shared" si="7"/>
        <v>10.1</v>
      </c>
      <c r="M106" s="47">
        <v>3.13</v>
      </c>
      <c r="N106" s="47">
        <v>1.996</v>
      </c>
      <c r="O106" s="47">
        <v>2.1259999999999999</v>
      </c>
      <c r="P106" s="47">
        <v>2.536</v>
      </c>
      <c r="Q106" s="49">
        <f t="shared" si="8"/>
        <v>9.7879999999999985</v>
      </c>
    </row>
    <row r="107" spans="1:17">
      <c r="A107" s="10">
        <v>6</v>
      </c>
      <c r="B107" s="5" t="s">
        <v>46</v>
      </c>
      <c r="C107" s="47">
        <v>1.4239999999999999</v>
      </c>
      <c r="D107" s="47">
        <v>1.002</v>
      </c>
      <c r="E107" s="47">
        <v>0.71799999999999997</v>
      </c>
      <c r="F107" s="47">
        <v>1.18</v>
      </c>
      <c r="G107" s="48">
        <f t="shared" si="6"/>
        <v>4.3239999999999998</v>
      </c>
      <c r="H107" s="47">
        <v>2.032</v>
      </c>
      <c r="I107" s="47">
        <v>1.92</v>
      </c>
      <c r="J107" s="47">
        <v>2.3319999999999999</v>
      </c>
      <c r="K107" s="47">
        <v>2.8919999999999999</v>
      </c>
      <c r="L107" s="49">
        <f t="shared" si="7"/>
        <v>9.1760000000000002</v>
      </c>
      <c r="M107" s="47">
        <v>3.99</v>
      </c>
      <c r="N107" s="47">
        <v>3.5</v>
      </c>
      <c r="O107" s="47">
        <v>1.8080000000000001</v>
      </c>
      <c r="P107" s="47">
        <v>2.7719999999999998</v>
      </c>
      <c r="Q107" s="49">
        <f t="shared" si="8"/>
        <v>12.07</v>
      </c>
    </row>
    <row r="108" spans="1:17">
      <c r="A108" s="10">
        <v>7</v>
      </c>
      <c r="B108" s="5" t="s">
        <v>189</v>
      </c>
      <c r="C108" s="47">
        <v>0.85599999999999998</v>
      </c>
      <c r="D108" s="47">
        <v>1.024</v>
      </c>
      <c r="E108" s="47">
        <v>0.98799999999999999</v>
      </c>
      <c r="F108" s="47">
        <v>0.60399999999999998</v>
      </c>
      <c r="G108" s="48">
        <f t="shared" si="6"/>
        <v>3.472</v>
      </c>
      <c r="H108" s="47">
        <v>2.0699999999999998</v>
      </c>
      <c r="I108" s="47">
        <v>2.0779999999999998</v>
      </c>
      <c r="J108" s="47">
        <v>1.966</v>
      </c>
      <c r="K108" s="47">
        <v>2.8820000000000001</v>
      </c>
      <c r="L108" s="49">
        <f t="shared" si="7"/>
        <v>8.9960000000000004</v>
      </c>
      <c r="M108" s="47">
        <v>3.9340000000000002</v>
      </c>
      <c r="N108" s="47">
        <v>2.972</v>
      </c>
      <c r="O108" s="47">
        <v>3.294</v>
      </c>
      <c r="P108" s="47">
        <v>3.6120000000000001</v>
      </c>
      <c r="Q108" s="49">
        <f t="shared" si="8"/>
        <v>13.812000000000001</v>
      </c>
    </row>
    <row r="109" spans="1:17">
      <c r="A109" s="16"/>
      <c r="B109" s="23"/>
      <c r="C109" s="50"/>
      <c r="D109" s="50"/>
      <c r="E109" s="50"/>
      <c r="F109" s="50"/>
      <c r="G109" s="51"/>
      <c r="H109" s="52"/>
      <c r="I109" s="52"/>
      <c r="J109" s="52"/>
      <c r="K109" s="52"/>
      <c r="L109" s="51"/>
      <c r="M109" s="50"/>
      <c r="N109" s="50"/>
      <c r="O109" s="50"/>
      <c r="P109" s="50"/>
      <c r="Q109" s="51"/>
    </row>
    <row r="110" spans="1:17">
      <c r="A110" s="16"/>
      <c r="B110" s="23"/>
      <c r="C110" s="50"/>
      <c r="D110" s="50"/>
      <c r="E110" s="50"/>
      <c r="F110" s="50"/>
      <c r="G110" s="51"/>
      <c r="H110" s="50"/>
      <c r="I110" s="50"/>
      <c r="J110" s="50"/>
      <c r="K110" s="50"/>
      <c r="L110" s="51"/>
      <c r="M110" s="50"/>
      <c r="N110" s="50"/>
      <c r="O110" s="50"/>
      <c r="P110" s="50"/>
      <c r="Q110" s="51"/>
    </row>
    <row r="111" spans="1:17">
      <c r="A111" s="16"/>
      <c r="B111" s="5" t="s">
        <v>194</v>
      </c>
      <c r="C111" s="170" t="s">
        <v>215</v>
      </c>
      <c r="D111" s="170"/>
      <c r="E111" s="170"/>
      <c r="F111" s="170"/>
      <c r="G111" s="10"/>
      <c r="H111" s="172" t="s">
        <v>215</v>
      </c>
      <c r="I111" s="173"/>
      <c r="J111" s="173"/>
      <c r="K111" s="173"/>
      <c r="L111" s="174"/>
      <c r="M111" s="172" t="s">
        <v>215</v>
      </c>
      <c r="N111" s="173"/>
      <c r="O111" s="173"/>
      <c r="P111" s="173"/>
      <c r="Q111" s="174"/>
    </row>
    <row r="112" spans="1:17">
      <c r="A112" s="16"/>
      <c r="B112" s="23"/>
      <c r="C112" s="171" t="s">
        <v>183</v>
      </c>
      <c r="D112" s="171"/>
      <c r="E112" s="171"/>
      <c r="F112" s="171"/>
      <c r="G112" s="10"/>
      <c r="H112" s="171" t="s">
        <v>181</v>
      </c>
      <c r="I112" s="171"/>
      <c r="J112" s="171"/>
      <c r="K112" s="171"/>
      <c r="L112" s="10"/>
      <c r="M112" s="171" t="s">
        <v>182</v>
      </c>
      <c r="N112" s="171"/>
      <c r="O112" s="171"/>
      <c r="P112" s="171"/>
      <c r="Q112" s="10"/>
    </row>
    <row r="113" spans="1:17">
      <c r="A113" s="10" t="s">
        <v>216</v>
      </c>
      <c r="B113" s="10" t="s">
        <v>188</v>
      </c>
      <c r="C113" s="10">
        <v>1</v>
      </c>
      <c r="D113" s="10">
        <v>2</v>
      </c>
      <c r="E113" s="10">
        <v>3</v>
      </c>
      <c r="F113" s="10">
        <v>4</v>
      </c>
      <c r="G113" s="10" t="s">
        <v>217</v>
      </c>
      <c r="H113" s="10">
        <v>1</v>
      </c>
      <c r="I113" s="10">
        <v>2</v>
      </c>
      <c r="J113" s="10">
        <v>3</v>
      </c>
      <c r="K113" s="10">
        <v>4</v>
      </c>
      <c r="L113" s="10" t="s">
        <v>217</v>
      </c>
      <c r="M113" s="10">
        <v>1</v>
      </c>
      <c r="N113" s="10">
        <v>2</v>
      </c>
      <c r="O113" s="10">
        <v>3</v>
      </c>
      <c r="P113" s="10">
        <v>4</v>
      </c>
      <c r="Q113" s="10" t="s">
        <v>217</v>
      </c>
    </row>
    <row r="114" spans="1:17">
      <c r="A114" s="10">
        <v>1</v>
      </c>
      <c r="B114" s="5" t="s">
        <v>29</v>
      </c>
      <c r="C114" s="47">
        <v>2.5259999999999998</v>
      </c>
      <c r="D114" s="47">
        <v>1.9359999999999999</v>
      </c>
      <c r="E114" s="47">
        <v>1.518</v>
      </c>
      <c r="F114" s="47">
        <v>1.6559999999999999</v>
      </c>
      <c r="G114" s="49">
        <f>SUM(C114:F114)</f>
        <v>7.6359999999999992</v>
      </c>
      <c r="H114" s="47">
        <v>2.3180000000000001</v>
      </c>
      <c r="I114" s="47">
        <v>1.91</v>
      </c>
      <c r="J114" s="47">
        <v>1.8819999999999999</v>
      </c>
      <c r="K114" s="47">
        <v>2.8519999999999999</v>
      </c>
      <c r="L114" s="49">
        <f>SUM(H114:K114)</f>
        <v>8.9619999999999997</v>
      </c>
      <c r="M114" s="47">
        <v>1.536</v>
      </c>
      <c r="N114" s="47">
        <v>1.8120000000000001</v>
      </c>
      <c r="O114" s="47">
        <v>1.522</v>
      </c>
      <c r="P114" s="47">
        <v>1.734</v>
      </c>
      <c r="Q114" s="49">
        <f>SUM(M114:P114)</f>
        <v>6.6040000000000001</v>
      </c>
    </row>
    <row r="115" spans="1:17">
      <c r="A115" s="10">
        <v>2</v>
      </c>
      <c r="B115" s="5" t="s">
        <v>30</v>
      </c>
      <c r="C115" s="47">
        <v>1.8859999999999999</v>
      </c>
      <c r="D115" s="47">
        <v>1.64</v>
      </c>
      <c r="E115" s="47">
        <v>1.536</v>
      </c>
      <c r="F115" s="47">
        <v>1.998</v>
      </c>
      <c r="G115" s="49">
        <f t="shared" ref="G115:G120" si="9">SUM(C115:F115)</f>
        <v>7.06</v>
      </c>
      <c r="H115" s="47">
        <v>2.7080000000000002</v>
      </c>
      <c r="I115" s="47">
        <v>1.83</v>
      </c>
      <c r="J115" s="47">
        <v>2.1259999999999999</v>
      </c>
      <c r="K115" s="47">
        <v>2.4260000000000002</v>
      </c>
      <c r="L115" s="49">
        <f t="shared" ref="L115:L120" si="10">SUM(H115:K115)</f>
        <v>9.09</v>
      </c>
      <c r="M115" s="47">
        <v>1.1519999999999999</v>
      </c>
      <c r="N115" s="47">
        <v>1.5860000000000001</v>
      </c>
      <c r="O115" s="47">
        <v>2.1280000000000001</v>
      </c>
      <c r="P115" s="47">
        <v>2.3959999999999999</v>
      </c>
      <c r="Q115" s="49">
        <f t="shared" ref="Q115:Q120" si="11">SUM(M115:P115)</f>
        <v>7.2619999999999996</v>
      </c>
    </row>
    <row r="116" spans="1:17">
      <c r="A116" s="10">
        <v>3</v>
      </c>
      <c r="B116" s="5" t="s">
        <v>31</v>
      </c>
      <c r="C116" s="47">
        <v>2.052</v>
      </c>
      <c r="D116" s="47">
        <v>1.6579999999999999</v>
      </c>
      <c r="E116" s="47">
        <v>2.754</v>
      </c>
      <c r="F116" s="47">
        <v>2.3340000000000001</v>
      </c>
      <c r="G116" s="49">
        <f t="shared" si="9"/>
        <v>8.798</v>
      </c>
      <c r="H116" s="47">
        <v>2.9020000000000001</v>
      </c>
      <c r="I116" s="47">
        <v>2.7759999999999998</v>
      </c>
      <c r="J116" s="47">
        <v>3.4420000000000002</v>
      </c>
      <c r="K116" s="47">
        <v>2.21</v>
      </c>
      <c r="L116" s="49">
        <f t="shared" si="10"/>
        <v>11.330000000000002</v>
      </c>
      <c r="M116" s="47">
        <v>2.04</v>
      </c>
      <c r="N116" s="47">
        <v>1.474</v>
      </c>
      <c r="O116" s="47">
        <v>0</v>
      </c>
      <c r="P116" s="47">
        <v>0</v>
      </c>
      <c r="Q116" s="49">
        <f t="shared" si="11"/>
        <v>3.5140000000000002</v>
      </c>
    </row>
    <row r="117" spans="1:17">
      <c r="A117" s="10">
        <v>4</v>
      </c>
      <c r="B117" s="5" t="s">
        <v>32</v>
      </c>
      <c r="C117" s="47">
        <v>2.238</v>
      </c>
      <c r="D117" s="47">
        <v>1.6180000000000001</v>
      </c>
      <c r="E117" s="47">
        <v>2.274</v>
      </c>
      <c r="F117" s="47">
        <v>1.804</v>
      </c>
      <c r="G117" s="49">
        <f t="shared" si="9"/>
        <v>7.9340000000000002</v>
      </c>
      <c r="H117" s="47">
        <v>2.1160000000000001</v>
      </c>
      <c r="I117" s="47">
        <v>1.6359999999999999</v>
      </c>
      <c r="J117" s="47">
        <v>2.306</v>
      </c>
      <c r="K117" s="47">
        <v>1.67</v>
      </c>
      <c r="L117" s="49">
        <f t="shared" si="10"/>
        <v>7.7279999999999998</v>
      </c>
      <c r="M117" s="47">
        <v>2.706</v>
      </c>
      <c r="N117" s="47">
        <v>1.3480000000000001</v>
      </c>
      <c r="O117" s="47">
        <v>1.502</v>
      </c>
      <c r="P117" s="47">
        <v>3.3260000000000001</v>
      </c>
      <c r="Q117" s="49">
        <f t="shared" si="11"/>
        <v>8.8819999999999997</v>
      </c>
    </row>
    <row r="118" spans="1:17">
      <c r="A118" s="10">
        <v>5</v>
      </c>
      <c r="B118" s="5" t="s">
        <v>33</v>
      </c>
      <c r="C118" s="47">
        <v>1.724</v>
      </c>
      <c r="D118" s="47">
        <v>2.1179999999999999</v>
      </c>
      <c r="E118" s="47">
        <v>2.0539999999999998</v>
      </c>
      <c r="F118" s="47">
        <v>3.1339999999999999</v>
      </c>
      <c r="G118" s="49">
        <f t="shared" si="9"/>
        <v>9.0299999999999994</v>
      </c>
      <c r="H118" s="47">
        <v>2.56</v>
      </c>
      <c r="I118" s="47">
        <v>2.234</v>
      </c>
      <c r="J118" s="47">
        <v>1.6379999999999999</v>
      </c>
      <c r="K118" s="47">
        <v>1.054</v>
      </c>
      <c r="L118" s="49">
        <f t="shared" si="10"/>
        <v>7.4860000000000007</v>
      </c>
      <c r="M118" s="47">
        <v>2.274</v>
      </c>
      <c r="N118" s="47">
        <v>1.1359999999999999</v>
      </c>
      <c r="O118" s="47">
        <v>3.9140000000000001</v>
      </c>
      <c r="P118" s="47">
        <v>2.5920000000000001</v>
      </c>
      <c r="Q118" s="49">
        <f t="shared" si="11"/>
        <v>9.9160000000000004</v>
      </c>
    </row>
    <row r="119" spans="1:17">
      <c r="A119" s="10">
        <v>6</v>
      </c>
      <c r="B119" s="5" t="s">
        <v>34</v>
      </c>
      <c r="C119" s="47">
        <v>1.734</v>
      </c>
      <c r="D119" s="47">
        <v>1.5840000000000001</v>
      </c>
      <c r="E119" s="47">
        <v>1.3260000000000001</v>
      </c>
      <c r="F119" s="47">
        <v>1.8380000000000001</v>
      </c>
      <c r="G119" s="49">
        <f t="shared" si="9"/>
        <v>6.4820000000000002</v>
      </c>
      <c r="H119" s="47">
        <v>2.468</v>
      </c>
      <c r="I119" s="47">
        <v>1.964</v>
      </c>
      <c r="J119" s="47">
        <v>2.2040000000000002</v>
      </c>
      <c r="K119" s="47">
        <v>1.6359999999999999</v>
      </c>
      <c r="L119" s="49">
        <f t="shared" si="10"/>
        <v>8.2720000000000002</v>
      </c>
      <c r="M119" s="47">
        <v>2.5880000000000001</v>
      </c>
      <c r="N119" s="47">
        <v>1.944</v>
      </c>
      <c r="O119" s="47">
        <v>2.3180000000000001</v>
      </c>
      <c r="P119" s="47">
        <v>2.72</v>
      </c>
      <c r="Q119" s="49">
        <f t="shared" si="11"/>
        <v>9.57</v>
      </c>
    </row>
    <row r="120" spans="1:17">
      <c r="A120" s="10">
        <v>7</v>
      </c>
      <c r="B120" s="5" t="s">
        <v>35</v>
      </c>
      <c r="C120" s="47">
        <v>1.31</v>
      </c>
      <c r="D120" s="47">
        <v>1.048</v>
      </c>
      <c r="E120" s="47">
        <v>0.99199999999999999</v>
      </c>
      <c r="F120" s="47">
        <v>0.81799999999999995</v>
      </c>
      <c r="G120" s="49">
        <f t="shared" si="9"/>
        <v>4.1680000000000001</v>
      </c>
      <c r="H120" s="47">
        <v>2.5059999999999998</v>
      </c>
      <c r="I120" s="47">
        <v>2.6560000000000001</v>
      </c>
      <c r="J120" s="47">
        <v>3.222</v>
      </c>
      <c r="K120" s="47">
        <v>2.6720000000000002</v>
      </c>
      <c r="L120" s="49">
        <f t="shared" si="10"/>
        <v>11.056000000000001</v>
      </c>
      <c r="M120" s="47">
        <v>2.1960000000000002</v>
      </c>
      <c r="N120" s="47">
        <v>1.242</v>
      </c>
      <c r="O120" s="47">
        <v>1.962</v>
      </c>
      <c r="P120" s="47">
        <v>2.1179999999999999</v>
      </c>
      <c r="Q120" s="49">
        <f t="shared" si="11"/>
        <v>7.5180000000000007</v>
      </c>
    </row>
    <row r="122" spans="1:17">
      <c r="A122" t="s">
        <v>221</v>
      </c>
      <c r="H122" s="16"/>
      <c r="I122" s="172" t="s">
        <v>194</v>
      </c>
      <c r="J122" s="173"/>
      <c r="K122" s="173"/>
      <c r="L122" s="174"/>
    </row>
    <row r="123" spans="1:17">
      <c r="A123" s="5" t="s">
        <v>214</v>
      </c>
      <c r="B123" s="170" t="s">
        <v>188</v>
      </c>
      <c r="C123" s="170"/>
      <c r="D123" s="170"/>
      <c r="E123" s="170"/>
      <c r="F123" s="11"/>
      <c r="H123" s="16"/>
      <c r="I123" s="172" t="s">
        <v>221</v>
      </c>
      <c r="J123" s="173"/>
      <c r="K123" s="173"/>
      <c r="L123" s="174"/>
    </row>
    <row r="124" spans="1:17">
      <c r="A124" s="23"/>
      <c r="B124" s="23"/>
      <c r="C124" s="170" t="s">
        <v>221</v>
      </c>
      <c r="D124" s="170"/>
      <c r="E124" s="170"/>
      <c r="F124" s="11"/>
      <c r="H124" s="10" t="s">
        <v>216</v>
      </c>
      <c r="I124" s="10" t="s">
        <v>222</v>
      </c>
      <c r="J124" s="10" t="s">
        <v>183</v>
      </c>
      <c r="K124" s="10" t="s">
        <v>181</v>
      </c>
      <c r="L124" s="10" t="s">
        <v>182</v>
      </c>
    </row>
    <row r="125" spans="1:17">
      <c r="A125" s="10" t="s">
        <v>216</v>
      </c>
      <c r="B125" s="10" t="s">
        <v>188</v>
      </c>
      <c r="C125" s="10" t="s">
        <v>183</v>
      </c>
      <c r="D125" s="10" t="s">
        <v>181</v>
      </c>
      <c r="E125" s="10" t="s">
        <v>182</v>
      </c>
      <c r="F125" s="10" t="s">
        <v>217</v>
      </c>
      <c r="H125" s="10">
        <v>1</v>
      </c>
      <c r="I125" s="5" t="s">
        <v>29</v>
      </c>
      <c r="J125" s="47">
        <f>(7.53+5.738)</f>
        <v>13.268000000000001</v>
      </c>
      <c r="K125" s="47">
        <f>(3.55+4.108)</f>
        <v>7.6579999999999995</v>
      </c>
      <c r="L125" s="47">
        <f>(6.728+3.832)</f>
        <v>10.559999999999999</v>
      </c>
    </row>
    <row r="126" spans="1:17">
      <c r="A126" s="10">
        <v>1</v>
      </c>
      <c r="B126" s="5" t="s">
        <v>41</v>
      </c>
      <c r="C126" s="53">
        <f>(5.662+7.562+3.382)</f>
        <v>16.606000000000002</v>
      </c>
      <c r="D126" s="53">
        <f>(9.752+9.565)</f>
        <v>19.317</v>
      </c>
      <c r="E126" s="53">
        <f>(6.186+6.958)</f>
        <v>13.144</v>
      </c>
      <c r="F126" s="54">
        <f>AVERAGE(C126:E126)</f>
        <v>16.355666666666668</v>
      </c>
      <c r="H126" s="10">
        <v>2</v>
      </c>
      <c r="I126" s="5" t="s">
        <v>30</v>
      </c>
      <c r="J126" s="47">
        <f>(9.974+9.42)</f>
        <v>19.393999999999998</v>
      </c>
      <c r="K126" s="47">
        <f>(4.982+8.48)</f>
        <v>13.462</v>
      </c>
      <c r="L126" s="47">
        <f>(6.825+2.964)</f>
        <v>9.7889999999999997</v>
      </c>
    </row>
    <row r="127" spans="1:17">
      <c r="A127" s="10">
        <v>2</v>
      </c>
      <c r="B127" s="5" t="s">
        <v>218</v>
      </c>
      <c r="C127" s="53">
        <f>(4.61+3.7+7.41)</f>
        <v>15.72</v>
      </c>
      <c r="D127" s="53">
        <f>(7.488+7.164)</f>
        <v>14.652000000000001</v>
      </c>
      <c r="E127" s="53">
        <f>(4.85+4.872)</f>
        <v>9.7219999999999995</v>
      </c>
      <c r="F127" s="54">
        <f t="shared" ref="F127:F132" si="12">AVERAGE(C127:E127)</f>
        <v>13.364666666666666</v>
      </c>
      <c r="H127" s="10">
        <v>3</v>
      </c>
      <c r="I127" s="5" t="s">
        <v>31</v>
      </c>
      <c r="J127" s="47">
        <f>(4.12+6.052)</f>
        <v>10.172000000000001</v>
      </c>
      <c r="K127" s="47">
        <f>(5.125+2.838)</f>
        <v>7.9630000000000001</v>
      </c>
      <c r="L127" s="47">
        <f>(6.748+6.726)</f>
        <v>13.474</v>
      </c>
    </row>
    <row r="128" spans="1:17">
      <c r="A128" s="10">
        <v>3</v>
      </c>
      <c r="B128" s="5" t="s">
        <v>219</v>
      </c>
      <c r="C128" s="53">
        <f>(8.095+11.15)</f>
        <v>19.245000000000001</v>
      </c>
      <c r="D128" s="53">
        <f>(8.538+10.495)</f>
        <v>19.033000000000001</v>
      </c>
      <c r="E128" s="53">
        <f>(9.545+9.548)</f>
        <v>19.093</v>
      </c>
      <c r="F128" s="54">
        <f t="shared" si="12"/>
        <v>19.123666666666669</v>
      </c>
      <c r="H128" s="10">
        <v>4</v>
      </c>
      <c r="I128" s="5" t="s">
        <v>32</v>
      </c>
      <c r="J128" s="47">
        <f>(6.558+6.51)</f>
        <v>13.068</v>
      </c>
      <c r="K128" s="47">
        <f>(7.05+5.988)</f>
        <v>13.038</v>
      </c>
      <c r="L128" s="47">
        <f>(6.825+5.948)</f>
        <v>12.773</v>
      </c>
    </row>
    <row r="129" spans="1:12">
      <c r="A129" s="10">
        <v>4</v>
      </c>
      <c r="B129" s="5" t="s">
        <v>220</v>
      </c>
      <c r="C129" s="53">
        <f>(10.928+8.376)</f>
        <v>19.304000000000002</v>
      </c>
      <c r="D129" s="53">
        <f>(5.274+5.208)</f>
        <v>10.481999999999999</v>
      </c>
      <c r="E129" s="53">
        <f>(10.285+9.278)</f>
        <v>19.563000000000002</v>
      </c>
      <c r="F129" s="54">
        <f t="shared" si="12"/>
        <v>16.449666666666669</v>
      </c>
      <c r="H129" s="10">
        <v>5</v>
      </c>
      <c r="I129" s="5" t="s">
        <v>33</v>
      </c>
      <c r="J129" s="47">
        <f>(6.492+6.056)</f>
        <v>12.548</v>
      </c>
      <c r="K129" s="47">
        <f>(7.042+6.824)</f>
        <v>13.866</v>
      </c>
      <c r="L129" s="47">
        <f>(3.586+3.136)</f>
        <v>6.7219999999999995</v>
      </c>
    </row>
    <row r="130" spans="1:12">
      <c r="A130" s="10">
        <v>5</v>
      </c>
      <c r="B130" s="5" t="s">
        <v>45</v>
      </c>
      <c r="C130" s="53">
        <f>(2.69+4.62)</f>
        <v>7.3100000000000005</v>
      </c>
      <c r="D130" s="53">
        <f>(7.492+7.275)</f>
        <v>14.766999999999999</v>
      </c>
      <c r="E130" s="53">
        <f>(6.635+7.345)</f>
        <v>13.98</v>
      </c>
      <c r="F130" s="54">
        <f t="shared" si="12"/>
        <v>12.019</v>
      </c>
      <c r="H130" s="10">
        <v>6</v>
      </c>
      <c r="I130" s="5" t="s">
        <v>34</v>
      </c>
      <c r="J130" s="47">
        <f>(3.245+2.086)</f>
        <v>5.3309999999999995</v>
      </c>
      <c r="K130" s="47">
        <f>(9.44+9.41)</f>
        <v>18.850000000000001</v>
      </c>
      <c r="L130" s="47">
        <f>(4.962+5.232)</f>
        <v>10.193999999999999</v>
      </c>
    </row>
    <row r="131" spans="1:12">
      <c r="A131" s="10">
        <v>6</v>
      </c>
      <c r="B131" s="5" t="s">
        <v>46</v>
      </c>
      <c r="C131" s="53">
        <f>(4.498+4.058)</f>
        <v>8.5560000000000009</v>
      </c>
      <c r="D131" s="53">
        <f>(7.526+6.022)</f>
        <v>13.548</v>
      </c>
      <c r="E131" s="53">
        <f>(9.522+8.23)</f>
        <v>17.752000000000002</v>
      </c>
      <c r="F131" s="54">
        <f t="shared" si="12"/>
        <v>13.285333333333334</v>
      </c>
      <c r="H131" s="10">
        <v>7</v>
      </c>
      <c r="I131" s="5" t="s">
        <v>35</v>
      </c>
      <c r="J131" s="47">
        <f>(3.32+2.34)</f>
        <v>5.66</v>
      </c>
      <c r="K131" s="47">
        <f>(4.532+4.2)</f>
        <v>8.7319999999999993</v>
      </c>
      <c r="L131" s="47">
        <f>(7.184+5.484)</f>
        <v>12.667999999999999</v>
      </c>
    </row>
    <row r="132" spans="1:12">
      <c r="A132" s="10">
        <v>7</v>
      </c>
      <c r="B132" s="5" t="s">
        <v>189</v>
      </c>
      <c r="C132" s="53">
        <v>3.3849999999999998</v>
      </c>
      <c r="D132" s="53">
        <f>(4.82+4.202)</f>
        <v>9.0220000000000002</v>
      </c>
      <c r="E132" s="53">
        <f>(6.942+7.258)</f>
        <v>14.2</v>
      </c>
      <c r="F132" s="54">
        <f t="shared" si="12"/>
        <v>8.8689999999999998</v>
      </c>
      <c r="L132" s="35"/>
    </row>
  </sheetData>
  <mergeCells count="32">
    <mergeCell ref="C124:E124"/>
    <mergeCell ref="C112:F112"/>
    <mergeCell ref="H112:K112"/>
    <mergeCell ref="M112:P112"/>
    <mergeCell ref="I122:L122"/>
    <mergeCell ref="B123:E123"/>
    <mergeCell ref="I123:L123"/>
    <mergeCell ref="C100:F100"/>
    <mergeCell ref="H100:K100"/>
    <mergeCell ref="M100:P100"/>
    <mergeCell ref="C111:F111"/>
    <mergeCell ref="H111:L111"/>
    <mergeCell ref="M111:Q111"/>
    <mergeCell ref="I63:J63"/>
    <mergeCell ref="V63:W63"/>
    <mergeCell ref="F73:G73"/>
    <mergeCell ref="M73:N73"/>
    <mergeCell ref="C99:F99"/>
    <mergeCell ref="H99:L99"/>
    <mergeCell ref="M99:Q99"/>
    <mergeCell ref="C52:D52"/>
    <mergeCell ref="I52:J52"/>
    <mergeCell ref="P52:Q52"/>
    <mergeCell ref="V52:W52"/>
    <mergeCell ref="C62:D62"/>
    <mergeCell ref="P62:Q62"/>
    <mergeCell ref="K4:M4"/>
    <mergeCell ref="Q4:S4"/>
    <mergeCell ref="W4:Y4"/>
    <mergeCell ref="K28:M28"/>
    <mergeCell ref="Q28:S28"/>
    <mergeCell ref="W28:Y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6"/>
  <sheetViews>
    <sheetView topLeftCell="A28" workbookViewId="0">
      <selection activeCell="J26" sqref="J26"/>
    </sheetView>
  </sheetViews>
  <sheetFormatPr defaultRowHeight="15"/>
  <cols>
    <col min="4" max="4" width="12.85546875" bestFit="1" customWidth="1"/>
    <col min="5" max="5" width="9.5703125" bestFit="1" customWidth="1"/>
    <col min="6" max="6" width="10.5703125" bestFit="1" customWidth="1"/>
    <col min="7" max="7" width="9.5703125" bestFit="1" customWidth="1"/>
  </cols>
  <sheetData>
    <row r="1" spans="1:7">
      <c r="A1" t="s">
        <v>239</v>
      </c>
      <c r="B1" t="s">
        <v>27</v>
      </c>
      <c r="C1" t="s">
        <v>36</v>
      </c>
      <c r="D1" t="s">
        <v>430</v>
      </c>
      <c r="E1" t="s">
        <v>342</v>
      </c>
      <c r="F1" t="s">
        <v>431</v>
      </c>
      <c r="G1" t="s">
        <v>432</v>
      </c>
    </row>
    <row r="2" spans="1:7">
      <c r="A2" s="50" t="s">
        <v>420</v>
      </c>
      <c r="B2">
        <v>1</v>
      </c>
      <c r="C2">
        <v>1</v>
      </c>
      <c r="D2" s="52">
        <v>778</v>
      </c>
      <c r="E2" s="50" t="s">
        <v>420</v>
      </c>
      <c r="F2" s="136">
        <v>780.66666666666663</v>
      </c>
      <c r="G2" s="71">
        <v>25.438378704452141</v>
      </c>
    </row>
    <row r="3" spans="1:7">
      <c r="A3" s="32" t="s">
        <v>421</v>
      </c>
      <c r="B3">
        <v>1</v>
      </c>
      <c r="C3">
        <v>2</v>
      </c>
      <c r="D3" s="52">
        <v>1424</v>
      </c>
      <c r="E3" s="32" t="s">
        <v>421</v>
      </c>
      <c r="F3" s="136">
        <v>1178</v>
      </c>
      <c r="G3" s="71">
        <v>125.95766484550806</v>
      </c>
    </row>
    <row r="4" spans="1:7">
      <c r="A4" s="50" t="s">
        <v>422</v>
      </c>
      <c r="B4">
        <v>1</v>
      </c>
      <c r="C4">
        <v>3</v>
      </c>
      <c r="D4" s="52">
        <v>902</v>
      </c>
      <c r="E4" s="50" t="s">
        <v>422</v>
      </c>
      <c r="F4" s="136">
        <v>850.66666666666663</v>
      </c>
      <c r="G4" s="71">
        <v>69.034612896559011</v>
      </c>
    </row>
    <row r="5" spans="1:7">
      <c r="A5" s="32" t="s">
        <v>423</v>
      </c>
      <c r="B5">
        <v>1</v>
      </c>
      <c r="C5">
        <v>4</v>
      </c>
      <c r="D5" s="52">
        <v>1202</v>
      </c>
      <c r="E5" s="32" t="s">
        <v>423</v>
      </c>
      <c r="F5" s="136">
        <v>1035.3333333333333</v>
      </c>
      <c r="G5" s="71">
        <v>84.129529760826273</v>
      </c>
    </row>
    <row r="6" spans="1:7">
      <c r="A6" s="50" t="s">
        <v>374</v>
      </c>
      <c r="B6">
        <v>1</v>
      </c>
      <c r="C6">
        <v>5</v>
      </c>
      <c r="D6" s="52">
        <v>630</v>
      </c>
      <c r="E6" s="50" t="s">
        <v>374</v>
      </c>
      <c r="F6" s="136">
        <v>531.33333333333337</v>
      </c>
      <c r="G6" s="71">
        <v>66.023564816746344</v>
      </c>
    </row>
    <row r="7" spans="1:7">
      <c r="A7" s="50" t="s">
        <v>107</v>
      </c>
      <c r="B7">
        <v>1</v>
      </c>
      <c r="C7">
        <v>6</v>
      </c>
      <c r="D7" s="52">
        <v>352</v>
      </c>
      <c r="E7" s="50" t="s">
        <v>107</v>
      </c>
      <c r="F7" s="136">
        <v>373.33333333333331</v>
      </c>
      <c r="G7" s="71">
        <v>14.110673659011264</v>
      </c>
    </row>
    <row r="8" spans="1:7">
      <c r="A8" s="50" t="s">
        <v>108</v>
      </c>
      <c r="B8">
        <v>1</v>
      </c>
      <c r="C8">
        <v>7</v>
      </c>
      <c r="D8" s="52">
        <v>348</v>
      </c>
      <c r="E8" s="50" t="s">
        <v>108</v>
      </c>
      <c r="F8" s="136">
        <v>472</v>
      </c>
      <c r="G8" s="71">
        <v>63.06610288683877</v>
      </c>
    </row>
    <row r="9" spans="1:7">
      <c r="A9" s="50" t="s">
        <v>424</v>
      </c>
      <c r="B9">
        <v>1</v>
      </c>
      <c r="C9">
        <v>8</v>
      </c>
      <c r="D9" s="52">
        <v>980</v>
      </c>
      <c r="E9" s="50" t="s">
        <v>424</v>
      </c>
      <c r="F9" s="136">
        <v>901.33333333333337</v>
      </c>
      <c r="G9" s="71">
        <v>39.4855810532286</v>
      </c>
    </row>
    <row r="10" spans="1:7">
      <c r="A10" s="50" t="s">
        <v>425</v>
      </c>
      <c r="B10">
        <v>1</v>
      </c>
      <c r="C10">
        <v>9</v>
      </c>
      <c r="D10" s="52">
        <v>372</v>
      </c>
      <c r="E10" s="50" t="s">
        <v>425</v>
      </c>
      <c r="F10" s="136">
        <v>358.66666666666669</v>
      </c>
      <c r="G10" s="71">
        <v>22.929844695893188</v>
      </c>
    </row>
    <row r="11" spans="1:7">
      <c r="A11" s="50" t="s">
        <v>384</v>
      </c>
      <c r="B11">
        <v>1</v>
      </c>
      <c r="C11">
        <v>10</v>
      </c>
      <c r="D11" s="52">
        <v>560</v>
      </c>
      <c r="E11" s="50" t="s">
        <v>384</v>
      </c>
      <c r="F11" s="136">
        <v>501.33333333333331</v>
      </c>
      <c r="G11" s="71">
        <v>32.951142283352965</v>
      </c>
    </row>
    <row r="12" spans="1:7">
      <c r="A12" s="32" t="s">
        <v>119</v>
      </c>
      <c r="B12">
        <v>1</v>
      </c>
      <c r="C12">
        <v>11</v>
      </c>
      <c r="D12" s="52">
        <v>1698</v>
      </c>
      <c r="E12" s="32" t="s">
        <v>119</v>
      </c>
      <c r="F12" s="136">
        <v>1510.6666666666667</v>
      </c>
      <c r="G12" s="71">
        <v>93.682679532795689</v>
      </c>
    </row>
    <row r="13" spans="1:7">
      <c r="A13" s="32" t="s">
        <v>360</v>
      </c>
      <c r="B13">
        <v>1</v>
      </c>
      <c r="C13">
        <v>12</v>
      </c>
      <c r="D13" s="52">
        <v>1092</v>
      </c>
      <c r="E13" s="32" t="s">
        <v>360</v>
      </c>
      <c r="F13" s="136">
        <v>1294.6666666666667</v>
      </c>
      <c r="G13" s="71">
        <v>132.55103838815384</v>
      </c>
    </row>
    <row r="14" spans="1:7">
      <c r="A14" s="32" t="s">
        <v>426</v>
      </c>
      <c r="B14">
        <v>1</v>
      </c>
      <c r="C14">
        <v>13</v>
      </c>
      <c r="D14" s="52">
        <v>1236</v>
      </c>
      <c r="E14" s="32" t="s">
        <v>426</v>
      </c>
      <c r="F14" s="136">
        <v>1318.6666666666667</v>
      </c>
      <c r="G14" s="71">
        <v>69.140758199809298</v>
      </c>
    </row>
    <row r="15" spans="1:7">
      <c r="A15" s="32" t="s">
        <v>427</v>
      </c>
      <c r="B15">
        <v>1</v>
      </c>
      <c r="C15">
        <v>14</v>
      </c>
      <c r="D15" s="52">
        <v>1098</v>
      </c>
      <c r="E15" s="32" t="s">
        <v>427</v>
      </c>
      <c r="F15" s="136">
        <v>1074.6666666666667</v>
      </c>
      <c r="G15" s="71">
        <v>57.205283361280706</v>
      </c>
    </row>
    <row r="16" spans="1:7">
      <c r="A16" s="32" t="s">
        <v>428</v>
      </c>
      <c r="B16">
        <v>1</v>
      </c>
      <c r="C16">
        <v>15</v>
      </c>
      <c r="D16" s="52">
        <v>1282</v>
      </c>
      <c r="E16" s="32" t="s">
        <v>428</v>
      </c>
      <c r="F16" s="136">
        <v>1222</v>
      </c>
      <c r="G16" s="71">
        <v>86.216781042517084</v>
      </c>
    </row>
    <row r="17" spans="1:4">
      <c r="A17" s="50" t="s">
        <v>420</v>
      </c>
      <c r="B17">
        <v>2</v>
      </c>
      <c r="C17">
        <v>1</v>
      </c>
      <c r="D17" s="52">
        <v>826</v>
      </c>
    </row>
    <row r="18" spans="1:4">
      <c r="A18" s="32" t="s">
        <v>421</v>
      </c>
      <c r="B18">
        <v>2</v>
      </c>
      <c r="C18">
        <v>2</v>
      </c>
      <c r="D18" s="52">
        <v>1008</v>
      </c>
    </row>
    <row r="19" spans="1:4">
      <c r="A19" s="50" t="s">
        <v>422</v>
      </c>
      <c r="B19">
        <v>2</v>
      </c>
      <c r="C19">
        <v>3</v>
      </c>
      <c r="D19" s="52">
        <v>714</v>
      </c>
    </row>
    <row r="20" spans="1:4">
      <c r="A20" s="32" t="s">
        <v>423</v>
      </c>
      <c r="B20">
        <v>2</v>
      </c>
      <c r="C20">
        <v>4</v>
      </c>
      <c r="D20" s="52">
        <v>932</v>
      </c>
    </row>
    <row r="21" spans="1:4">
      <c r="A21" s="50" t="s">
        <v>374</v>
      </c>
      <c r="B21">
        <v>2</v>
      </c>
      <c r="C21">
        <v>5</v>
      </c>
      <c r="D21" s="52">
        <v>406</v>
      </c>
    </row>
    <row r="22" spans="1:4">
      <c r="A22" s="50" t="s">
        <v>107</v>
      </c>
      <c r="B22">
        <v>2</v>
      </c>
      <c r="C22">
        <v>6</v>
      </c>
      <c r="D22" s="52">
        <v>400</v>
      </c>
    </row>
    <row r="23" spans="1:4">
      <c r="A23" s="50" t="s">
        <v>108</v>
      </c>
      <c r="B23">
        <v>2</v>
      </c>
      <c r="C23">
        <v>7</v>
      </c>
      <c r="D23" s="52">
        <v>554</v>
      </c>
    </row>
    <row r="24" spans="1:4">
      <c r="A24" s="50" t="s">
        <v>424</v>
      </c>
      <c r="B24">
        <v>2</v>
      </c>
      <c r="C24">
        <v>8</v>
      </c>
      <c r="D24" s="52">
        <v>856</v>
      </c>
    </row>
    <row r="25" spans="1:4">
      <c r="A25" s="50" t="s">
        <v>425</v>
      </c>
      <c r="B25">
        <v>2</v>
      </c>
      <c r="C25">
        <v>9</v>
      </c>
      <c r="D25" s="52">
        <v>390</v>
      </c>
    </row>
    <row r="26" spans="1:4">
      <c r="A26" s="50" t="s">
        <v>384</v>
      </c>
      <c r="B26">
        <v>2</v>
      </c>
      <c r="C26">
        <v>10</v>
      </c>
      <c r="D26" s="52">
        <v>446</v>
      </c>
    </row>
    <row r="27" spans="1:4">
      <c r="A27" s="32" t="s">
        <v>119</v>
      </c>
      <c r="B27">
        <v>2</v>
      </c>
      <c r="C27">
        <v>11</v>
      </c>
      <c r="D27" s="52">
        <v>1420</v>
      </c>
    </row>
    <row r="28" spans="1:4">
      <c r="A28" s="32" t="s">
        <v>360</v>
      </c>
      <c r="B28">
        <v>2</v>
      </c>
      <c r="C28">
        <v>12</v>
      </c>
      <c r="D28" s="52">
        <v>1248</v>
      </c>
    </row>
    <row r="29" spans="1:4">
      <c r="A29" s="32" t="s">
        <v>426</v>
      </c>
      <c r="B29">
        <v>2</v>
      </c>
      <c r="C29">
        <v>13</v>
      </c>
      <c r="D29" s="52">
        <v>1264</v>
      </c>
    </row>
    <row r="30" spans="1:4">
      <c r="A30" s="32" t="s">
        <v>427</v>
      </c>
      <c r="B30">
        <v>2</v>
      </c>
      <c r="C30">
        <v>14</v>
      </c>
      <c r="D30" s="52">
        <v>966</v>
      </c>
    </row>
    <row r="31" spans="1:4">
      <c r="A31" s="32" t="s">
        <v>428</v>
      </c>
      <c r="B31">
        <v>2</v>
      </c>
      <c r="C31">
        <v>15</v>
      </c>
      <c r="D31" s="52">
        <v>1332</v>
      </c>
    </row>
    <row r="32" spans="1:4">
      <c r="A32" s="50" t="s">
        <v>420</v>
      </c>
      <c r="B32">
        <v>3</v>
      </c>
      <c r="C32">
        <v>1</v>
      </c>
      <c r="D32" s="52">
        <v>738</v>
      </c>
    </row>
    <row r="33" spans="1:4">
      <c r="A33" s="32" t="s">
        <v>421</v>
      </c>
      <c r="B33">
        <v>3</v>
      </c>
      <c r="C33">
        <v>2</v>
      </c>
      <c r="D33" s="52">
        <v>1102</v>
      </c>
    </row>
    <row r="34" spans="1:4">
      <c r="A34" s="50" t="s">
        <v>422</v>
      </c>
      <c r="B34">
        <v>3</v>
      </c>
      <c r="C34">
        <v>3</v>
      </c>
      <c r="D34" s="52">
        <v>936</v>
      </c>
    </row>
    <row r="35" spans="1:4">
      <c r="A35" s="32" t="s">
        <v>423</v>
      </c>
      <c r="B35">
        <v>3</v>
      </c>
      <c r="C35">
        <v>4</v>
      </c>
      <c r="D35" s="52">
        <v>972</v>
      </c>
    </row>
    <row r="36" spans="1:4">
      <c r="A36" s="50" t="s">
        <v>374</v>
      </c>
      <c r="B36">
        <v>3</v>
      </c>
      <c r="C36">
        <v>5</v>
      </c>
      <c r="D36" s="52">
        <v>558</v>
      </c>
    </row>
    <row r="37" spans="1:4">
      <c r="A37" s="50" t="s">
        <v>107</v>
      </c>
      <c r="B37">
        <v>3</v>
      </c>
      <c r="C37">
        <v>6</v>
      </c>
      <c r="D37" s="52">
        <v>368</v>
      </c>
    </row>
    <row r="38" spans="1:4">
      <c r="A38" s="50" t="s">
        <v>108</v>
      </c>
      <c r="B38">
        <v>3</v>
      </c>
      <c r="C38">
        <v>7</v>
      </c>
      <c r="D38" s="52">
        <v>514</v>
      </c>
    </row>
    <row r="39" spans="1:4">
      <c r="A39" s="50" t="s">
        <v>424</v>
      </c>
      <c r="B39">
        <v>3</v>
      </c>
      <c r="C39">
        <v>8</v>
      </c>
      <c r="D39" s="52">
        <v>868</v>
      </c>
    </row>
    <row r="40" spans="1:4">
      <c r="A40" s="50" t="s">
        <v>425</v>
      </c>
      <c r="B40">
        <v>3</v>
      </c>
      <c r="C40">
        <v>9</v>
      </c>
      <c r="D40" s="52">
        <v>314</v>
      </c>
    </row>
    <row r="41" spans="1:4">
      <c r="A41" s="50" t="s">
        <v>384</v>
      </c>
      <c r="B41">
        <v>3</v>
      </c>
      <c r="C41">
        <v>10</v>
      </c>
      <c r="D41" s="52">
        <v>498</v>
      </c>
    </row>
    <row r="42" spans="1:4">
      <c r="A42" s="32" t="s">
        <v>119</v>
      </c>
      <c r="B42">
        <v>3</v>
      </c>
      <c r="C42">
        <v>11</v>
      </c>
      <c r="D42" s="52">
        <v>1414</v>
      </c>
    </row>
    <row r="43" spans="1:4">
      <c r="A43" s="32" t="s">
        <v>360</v>
      </c>
      <c r="B43">
        <v>3</v>
      </c>
      <c r="C43">
        <v>12</v>
      </c>
      <c r="D43" s="52">
        <v>1544</v>
      </c>
    </row>
    <row r="44" spans="1:4">
      <c r="A44" s="32" t="s">
        <v>426</v>
      </c>
      <c r="B44">
        <v>3</v>
      </c>
      <c r="C44">
        <v>13</v>
      </c>
      <c r="D44" s="52">
        <v>1456</v>
      </c>
    </row>
    <row r="45" spans="1:4">
      <c r="A45" s="32" t="s">
        <v>427</v>
      </c>
      <c r="B45">
        <v>3</v>
      </c>
      <c r="C45">
        <v>14</v>
      </c>
      <c r="D45" s="52">
        <v>1160</v>
      </c>
    </row>
    <row r="46" spans="1:4">
      <c r="A46" s="32" t="s">
        <v>428</v>
      </c>
      <c r="B46">
        <v>3</v>
      </c>
      <c r="C46">
        <v>15</v>
      </c>
      <c r="D46" s="52">
        <v>1052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6"/>
  <dimension ref="B4:N19"/>
  <sheetViews>
    <sheetView topLeftCell="A4" workbookViewId="0">
      <selection activeCell="R19" sqref="R19"/>
    </sheetView>
  </sheetViews>
  <sheetFormatPr defaultRowHeight="15"/>
  <cols>
    <col min="10" max="10" width="13.140625" customWidth="1"/>
  </cols>
  <sheetData>
    <row r="4" spans="2:14">
      <c r="B4" s="51" t="s">
        <v>361</v>
      </c>
      <c r="C4" s="51" t="s">
        <v>362</v>
      </c>
      <c r="D4" s="51" t="s">
        <v>175</v>
      </c>
      <c r="E4" s="51" t="s">
        <v>177</v>
      </c>
      <c r="F4" s="51" t="s">
        <v>363</v>
      </c>
      <c r="G4" s="51" t="s">
        <v>364</v>
      </c>
      <c r="H4" s="91"/>
      <c r="I4" s="51" t="s">
        <v>361</v>
      </c>
      <c r="J4" s="51" t="s">
        <v>362</v>
      </c>
      <c r="K4" s="92" t="s">
        <v>365</v>
      </c>
      <c r="M4" s="51" t="s">
        <v>362</v>
      </c>
      <c r="N4" s="92" t="s">
        <v>365</v>
      </c>
    </row>
    <row r="5" spans="2:14">
      <c r="B5" s="52">
        <v>1</v>
      </c>
      <c r="C5" s="50" t="s">
        <v>366</v>
      </c>
      <c r="D5" s="52">
        <v>778</v>
      </c>
      <c r="E5" s="52">
        <v>826</v>
      </c>
      <c r="F5" s="52">
        <v>238</v>
      </c>
      <c r="G5" s="77">
        <f t="shared" ref="G5:G19" si="0">AVERAGE(D5:F5)</f>
        <v>614</v>
      </c>
      <c r="H5" s="91"/>
      <c r="I5" s="52">
        <v>1</v>
      </c>
      <c r="J5" s="52" t="s">
        <v>367</v>
      </c>
      <c r="K5" s="52">
        <v>3980</v>
      </c>
      <c r="M5" s="50" t="s">
        <v>86</v>
      </c>
      <c r="N5" s="50">
        <v>4692</v>
      </c>
    </row>
    <row r="6" spans="2:14">
      <c r="B6" s="52">
        <v>2</v>
      </c>
      <c r="C6" s="50" t="s">
        <v>368</v>
      </c>
      <c r="D6" s="52">
        <v>1424</v>
      </c>
      <c r="E6" s="52">
        <v>1008</v>
      </c>
      <c r="F6" s="52">
        <v>102</v>
      </c>
      <c r="G6" s="77">
        <f t="shared" si="0"/>
        <v>844.66666666666663</v>
      </c>
      <c r="H6" s="91"/>
      <c r="I6" s="52">
        <v>2</v>
      </c>
      <c r="J6" s="52" t="s">
        <v>369</v>
      </c>
      <c r="K6" s="52">
        <v>2656</v>
      </c>
      <c r="M6" s="50" t="s">
        <v>87</v>
      </c>
      <c r="N6" s="50">
        <v>4570</v>
      </c>
    </row>
    <row r="7" spans="2:14">
      <c r="B7" s="52">
        <v>3</v>
      </c>
      <c r="C7" s="50" t="s">
        <v>370</v>
      </c>
      <c r="D7" s="52">
        <v>902</v>
      </c>
      <c r="E7" s="52">
        <v>714</v>
      </c>
      <c r="F7" s="52">
        <v>236</v>
      </c>
      <c r="G7" s="77">
        <f t="shared" si="0"/>
        <v>617.33333333333337</v>
      </c>
      <c r="H7" s="91"/>
      <c r="I7" s="52">
        <v>3</v>
      </c>
      <c r="J7" s="52" t="s">
        <v>371</v>
      </c>
      <c r="K7" s="52">
        <v>2358</v>
      </c>
      <c r="M7" s="50" t="s">
        <v>88</v>
      </c>
      <c r="N7" s="50">
        <v>6898</v>
      </c>
    </row>
    <row r="8" spans="2:14">
      <c r="B8" s="52">
        <v>4</v>
      </c>
      <c r="C8" s="50" t="s">
        <v>372</v>
      </c>
      <c r="D8" s="52">
        <v>1502</v>
      </c>
      <c r="E8" s="52">
        <v>732</v>
      </c>
      <c r="F8" s="52">
        <v>272</v>
      </c>
      <c r="G8" s="77">
        <f t="shared" si="0"/>
        <v>835.33333333333337</v>
      </c>
      <c r="H8" s="91"/>
      <c r="I8" s="52">
        <v>4</v>
      </c>
      <c r="J8" s="52" t="s">
        <v>373</v>
      </c>
      <c r="K8" s="52">
        <v>1664</v>
      </c>
      <c r="M8" s="50" t="s">
        <v>89</v>
      </c>
      <c r="N8" s="50">
        <v>8080</v>
      </c>
    </row>
    <row r="9" spans="2:14">
      <c r="B9" s="52">
        <v>5</v>
      </c>
      <c r="C9" s="50" t="s">
        <v>374</v>
      </c>
      <c r="D9" s="52">
        <v>630</v>
      </c>
      <c r="E9" s="52">
        <v>406</v>
      </c>
      <c r="F9" s="52">
        <v>358</v>
      </c>
      <c r="G9" s="77">
        <f t="shared" si="0"/>
        <v>464.66666666666669</v>
      </c>
      <c r="H9" s="91"/>
      <c r="I9" s="52">
        <v>5</v>
      </c>
      <c r="J9" s="93" t="s">
        <v>375</v>
      </c>
      <c r="K9" s="52">
        <v>2182</v>
      </c>
      <c r="M9" s="50" t="s">
        <v>90</v>
      </c>
      <c r="N9" s="50">
        <v>8270</v>
      </c>
    </row>
    <row r="10" spans="2:14">
      <c r="B10" s="52">
        <v>6</v>
      </c>
      <c r="C10" s="50" t="s">
        <v>107</v>
      </c>
      <c r="D10" s="52">
        <v>352</v>
      </c>
      <c r="E10" s="52">
        <v>0</v>
      </c>
      <c r="F10" s="52">
        <v>68</v>
      </c>
      <c r="G10" s="77">
        <f t="shared" si="0"/>
        <v>140</v>
      </c>
      <c r="H10" s="91"/>
      <c r="I10" s="52">
        <v>6</v>
      </c>
      <c r="J10" s="93" t="s">
        <v>376</v>
      </c>
      <c r="K10" s="52">
        <v>3272</v>
      </c>
      <c r="M10" s="50" t="s">
        <v>91</v>
      </c>
      <c r="N10" s="50">
        <v>5006</v>
      </c>
    </row>
    <row r="11" spans="2:14">
      <c r="B11" s="52">
        <v>7</v>
      </c>
      <c r="C11" s="50" t="s">
        <v>108</v>
      </c>
      <c r="D11" s="52">
        <v>348</v>
      </c>
      <c r="E11" s="52">
        <v>554</v>
      </c>
      <c r="F11" s="52">
        <v>214</v>
      </c>
      <c r="G11" s="77">
        <f t="shared" si="0"/>
        <v>372</v>
      </c>
      <c r="H11" s="91"/>
      <c r="I11" s="52">
        <v>7</v>
      </c>
      <c r="J11" s="93" t="s">
        <v>377</v>
      </c>
      <c r="K11" s="52">
        <v>2378</v>
      </c>
      <c r="M11" s="50" t="s">
        <v>92</v>
      </c>
      <c r="N11" s="50">
        <v>5898</v>
      </c>
    </row>
    <row r="12" spans="2:14">
      <c r="B12" s="52">
        <v>8</v>
      </c>
      <c r="C12" s="50" t="s">
        <v>378</v>
      </c>
      <c r="D12" s="52">
        <v>980</v>
      </c>
      <c r="E12" s="52">
        <v>856</v>
      </c>
      <c r="F12" s="52">
        <v>368</v>
      </c>
      <c r="G12" s="77">
        <f t="shared" si="0"/>
        <v>734.66666666666663</v>
      </c>
      <c r="H12" s="91"/>
      <c r="I12" s="52">
        <v>8</v>
      </c>
      <c r="J12" s="93" t="s">
        <v>379</v>
      </c>
      <c r="K12" s="52">
        <v>3932</v>
      </c>
      <c r="M12" s="50" t="s">
        <v>380</v>
      </c>
      <c r="N12" s="50">
        <v>4476</v>
      </c>
    </row>
    <row r="13" spans="2:14">
      <c r="B13" s="52">
        <v>9</v>
      </c>
      <c r="C13" s="50" t="s">
        <v>381</v>
      </c>
      <c r="D13" s="52">
        <v>372</v>
      </c>
      <c r="E13" s="52">
        <v>390</v>
      </c>
      <c r="F13" s="52">
        <v>114</v>
      </c>
      <c r="G13" s="77">
        <f t="shared" si="0"/>
        <v>292</v>
      </c>
      <c r="H13" s="91"/>
      <c r="I13" s="52">
        <v>9</v>
      </c>
      <c r="J13" s="93" t="s">
        <v>382</v>
      </c>
      <c r="K13" s="52">
        <v>732</v>
      </c>
      <c r="M13" s="50" t="s">
        <v>383</v>
      </c>
      <c r="N13" s="50">
        <v>10154</v>
      </c>
    </row>
    <row r="14" spans="2:14">
      <c r="B14" s="52">
        <v>10</v>
      </c>
      <c r="C14" s="50" t="s">
        <v>384</v>
      </c>
      <c r="D14" s="52">
        <v>560</v>
      </c>
      <c r="E14" s="52">
        <v>446</v>
      </c>
      <c r="F14" s="52">
        <v>298</v>
      </c>
      <c r="G14" s="77">
        <f t="shared" si="0"/>
        <v>434.66666666666669</v>
      </c>
      <c r="H14" s="91"/>
      <c r="I14" s="52">
        <v>1</v>
      </c>
      <c r="J14" s="93" t="s">
        <v>385</v>
      </c>
      <c r="K14" s="52">
        <v>5972</v>
      </c>
      <c r="M14" s="50" t="s">
        <v>93</v>
      </c>
      <c r="N14" s="50">
        <v>8710</v>
      </c>
    </row>
    <row r="15" spans="2:14">
      <c r="B15" s="52">
        <v>11</v>
      </c>
      <c r="C15" s="50" t="s">
        <v>386</v>
      </c>
      <c r="D15" s="52">
        <v>1698</v>
      </c>
      <c r="E15" s="52">
        <v>1220</v>
      </c>
      <c r="F15" s="52">
        <v>1414</v>
      </c>
      <c r="G15" s="77">
        <f t="shared" si="0"/>
        <v>1444</v>
      </c>
      <c r="H15" s="91"/>
      <c r="I15" s="52">
        <v>2</v>
      </c>
      <c r="J15" s="93" t="s">
        <v>387</v>
      </c>
      <c r="K15" s="52">
        <v>5136</v>
      </c>
    </row>
    <row r="16" spans="2:14">
      <c r="B16" s="52">
        <v>12</v>
      </c>
      <c r="C16" s="50" t="s">
        <v>388</v>
      </c>
      <c r="D16" s="52">
        <v>1092</v>
      </c>
      <c r="E16" s="52">
        <v>248</v>
      </c>
      <c r="F16" s="52">
        <v>1544</v>
      </c>
      <c r="G16" s="77">
        <f t="shared" si="0"/>
        <v>961.33333333333337</v>
      </c>
      <c r="H16" s="91"/>
      <c r="I16" s="52">
        <v>3</v>
      </c>
      <c r="J16" s="93" t="s">
        <v>389</v>
      </c>
      <c r="K16" s="52">
        <v>3138</v>
      </c>
    </row>
    <row r="17" spans="2:11">
      <c r="B17" s="52">
        <v>13</v>
      </c>
      <c r="C17" s="50" t="s">
        <v>390</v>
      </c>
      <c r="D17" s="52">
        <v>1236</v>
      </c>
      <c r="E17" s="52">
        <v>764</v>
      </c>
      <c r="F17" s="52">
        <v>1456</v>
      </c>
      <c r="G17" s="77">
        <f t="shared" si="0"/>
        <v>1152</v>
      </c>
      <c r="H17" s="91"/>
      <c r="I17" s="52">
        <v>4</v>
      </c>
      <c r="J17" s="93" t="s">
        <v>80</v>
      </c>
      <c r="K17" s="52">
        <v>2560</v>
      </c>
    </row>
    <row r="18" spans="2:11">
      <c r="B18" s="52">
        <v>14</v>
      </c>
      <c r="C18" s="50" t="s">
        <v>391</v>
      </c>
      <c r="D18" s="52">
        <v>798</v>
      </c>
      <c r="E18" s="52">
        <v>966</v>
      </c>
      <c r="F18" s="52">
        <v>1160</v>
      </c>
      <c r="G18" s="77">
        <f t="shared" si="0"/>
        <v>974.66666666666663</v>
      </c>
      <c r="H18" s="91"/>
      <c r="I18" s="52">
        <v>5</v>
      </c>
      <c r="J18" s="93" t="s">
        <v>392</v>
      </c>
      <c r="K18" s="52">
        <v>652</v>
      </c>
    </row>
    <row r="19" spans="2:11">
      <c r="B19" s="52">
        <v>15</v>
      </c>
      <c r="C19" s="50" t="s">
        <v>393</v>
      </c>
      <c r="D19" s="52">
        <v>482</v>
      </c>
      <c r="E19" s="52">
        <v>1332</v>
      </c>
      <c r="F19" s="52">
        <v>1052</v>
      </c>
      <c r="G19" s="77">
        <f t="shared" si="0"/>
        <v>955.33333333333337</v>
      </c>
      <c r="H19" s="9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C22"/>
  <sheetViews>
    <sheetView zoomScale="60" zoomScaleNormal="60" workbookViewId="0">
      <selection activeCell="C2" sqref="C2:C22"/>
    </sheetView>
  </sheetViews>
  <sheetFormatPr defaultRowHeight="15"/>
  <cols>
    <col min="1" max="1" width="14.7109375" bestFit="1" customWidth="1"/>
  </cols>
  <sheetData>
    <row r="1" spans="1:3">
      <c r="A1" s="36" t="s">
        <v>188</v>
      </c>
      <c r="B1" s="36" t="s">
        <v>27</v>
      </c>
      <c r="C1" s="36" t="s">
        <v>233</v>
      </c>
    </row>
    <row r="2" spans="1:3">
      <c r="A2" s="36" t="s">
        <v>41</v>
      </c>
      <c r="B2" s="36">
        <v>1</v>
      </c>
      <c r="C2" s="2">
        <v>10.050000000000001</v>
      </c>
    </row>
    <row r="3" spans="1:3">
      <c r="A3" s="36" t="s">
        <v>218</v>
      </c>
      <c r="B3" s="36">
        <v>1</v>
      </c>
      <c r="C3" s="2">
        <v>10</v>
      </c>
    </row>
    <row r="4" spans="1:3">
      <c r="A4" s="36" t="s">
        <v>219</v>
      </c>
      <c r="B4" s="36">
        <v>1</v>
      </c>
      <c r="C4" s="2">
        <v>12.274000000000001</v>
      </c>
    </row>
    <row r="5" spans="1:3">
      <c r="A5" s="36" t="s">
        <v>220</v>
      </c>
      <c r="B5" s="36">
        <v>1</v>
      </c>
      <c r="C5" s="2">
        <v>10.378</v>
      </c>
    </row>
    <row r="6" spans="1:3">
      <c r="A6" s="36" t="s">
        <v>45</v>
      </c>
      <c r="B6" s="36">
        <v>1</v>
      </c>
      <c r="C6" s="2">
        <v>6.3979999999999997</v>
      </c>
    </row>
    <row r="7" spans="1:3">
      <c r="A7" s="36" t="s">
        <v>46</v>
      </c>
      <c r="B7" s="36">
        <v>1</v>
      </c>
      <c r="C7" s="2">
        <v>4.3239999999999998</v>
      </c>
    </row>
    <row r="8" spans="1:3">
      <c r="A8" s="36" t="s">
        <v>189</v>
      </c>
      <c r="B8" s="36">
        <v>1</v>
      </c>
      <c r="C8" s="2">
        <v>3.472</v>
      </c>
    </row>
    <row r="9" spans="1:3">
      <c r="A9" s="36" t="s">
        <v>41</v>
      </c>
      <c r="B9" s="36">
        <v>2</v>
      </c>
      <c r="C9" s="2">
        <v>8.6679999999999993</v>
      </c>
    </row>
    <row r="10" spans="1:3">
      <c r="A10" s="36" t="s">
        <v>218</v>
      </c>
      <c r="B10" s="36">
        <v>2</v>
      </c>
      <c r="C10" s="2">
        <v>10.182</v>
      </c>
    </row>
    <row r="11" spans="1:3">
      <c r="A11" s="36" t="s">
        <v>219</v>
      </c>
      <c r="B11" s="36">
        <v>2</v>
      </c>
      <c r="C11" s="2">
        <v>15.288</v>
      </c>
    </row>
    <row r="12" spans="1:3">
      <c r="A12" s="36" t="s">
        <v>220</v>
      </c>
      <c r="B12" s="36">
        <v>2</v>
      </c>
      <c r="C12" s="2">
        <v>5.8519999999999994</v>
      </c>
    </row>
    <row r="13" spans="1:3">
      <c r="A13" s="36" t="s">
        <v>45</v>
      </c>
      <c r="B13" s="36">
        <v>2</v>
      </c>
      <c r="C13" s="2">
        <v>10.1</v>
      </c>
    </row>
    <row r="14" spans="1:3">
      <c r="A14" s="36" t="s">
        <v>46</v>
      </c>
      <c r="B14" s="36">
        <v>2</v>
      </c>
      <c r="C14" s="2">
        <v>9.1760000000000002</v>
      </c>
    </row>
    <row r="15" spans="1:3">
      <c r="A15" s="36" t="s">
        <v>189</v>
      </c>
      <c r="B15" s="36">
        <v>2</v>
      </c>
      <c r="C15" s="2">
        <v>8.9960000000000004</v>
      </c>
    </row>
    <row r="16" spans="1:3">
      <c r="A16" s="36" t="s">
        <v>41</v>
      </c>
      <c r="B16" s="36">
        <v>3</v>
      </c>
      <c r="C16" s="2">
        <v>9.0499999999999989</v>
      </c>
    </row>
    <row r="17" spans="1:3">
      <c r="A17" s="36" t="s">
        <v>218</v>
      </c>
      <c r="B17" s="36">
        <v>3</v>
      </c>
      <c r="C17" s="2">
        <v>7.1319999999999997</v>
      </c>
    </row>
    <row r="18" spans="1:3">
      <c r="A18" s="36" t="s">
        <v>219</v>
      </c>
      <c r="B18" s="36">
        <v>3</v>
      </c>
      <c r="C18" s="2">
        <v>13.803999999999998</v>
      </c>
    </row>
    <row r="19" spans="1:3">
      <c r="A19" s="36" t="s">
        <v>220</v>
      </c>
      <c r="B19" s="36">
        <v>3</v>
      </c>
      <c r="C19" s="2">
        <v>9.6260000000000012</v>
      </c>
    </row>
    <row r="20" spans="1:3">
      <c r="A20" s="36" t="s">
        <v>45</v>
      </c>
      <c r="B20" s="36">
        <v>3</v>
      </c>
      <c r="C20" s="2">
        <v>9.7879999999999985</v>
      </c>
    </row>
    <row r="21" spans="1:3">
      <c r="A21" s="36" t="s">
        <v>46</v>
      </c>
      <c r="B21" s="36">
        <v>3</v>
      </c>
      <c r="C21" s="2">
        <v>12.07</v>
      </c>
    </row>
    <row r="22" spans="1:3">
      <c r="A22" s="36" t="s">
        <v>189</v>
      </c>
      <c r="B22" s="36">
        <v>3</v>
      </c>
      <c r="C22" s="2">
        <v>13.812000000000001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N66"/>
  <sheetViews>
    <sheetView topLeftCell="A33" zoomScale="80" zoomScaleNormal="80" workbookViewId="0">
      <selection activeCell="G36" sqref="G36"/>
    </sheetView>
  </sheetViews>
  <sheetFormatPr defaultRowHeight="15"/>
  <cols>
    <col min="1" max="1" width="30" style="56" bestFit="1" customWidth="1"/>
    <col min="2" max="2" width="36.5703125" style="56" bestFit="1" customWidth="1"/>
    <col min="3" max="3" width="30" style="56" bestFit="1" customWidth="1"/>
    <col min="4" max="4" width="21.140625" style="56" bestFit="1" customWidth="1"/>
    <col min="5" max="5" width="23.5703125" style="56" bestFit="1" customWidth="1"/>
    <col min="6" max="7" width="30" style="56" bestFit="1" customWidth="1"/>
    <col min="8" max="8" width="35.140625" style="56" bestFit="1" customWidth="1"/>
    <col min="9" max="9" width="21.140625" style="56" bestFit="1" customWidth="1"/>
    <col min="10" max="10" width="15.85546875" style="56" bestFit="1" customWidth="1"/>
    <col min="11" max="11" width="17" style="56" bestFit="1" customWidth="1"/>
    <col min="12" max="12" width="20" style="56" bestFit="1" customWidth="1"/>
    <col min="13" max="13" width="16.140625" style="56" bestFit="1" customWidth="1"/>
    <col min="14" max="16384" width="9.140625" style="56"/>
  </cols>
  <sheetData>
    <row r="1" spans="1:13">
      <c r="A1" s="59"/>
      <c r="B1" s="59"/>
      <c r="C1" s="59"/>
      <c r="D1" s="59"/>
      <c r="E1" s="59"/>
      <c r="F1" s="59" t="s">
        <v>252</v>
      </c>
      <c r="G1" s="59"/>
      <c r="H1" s="59"/>
      <c r="I1" s="59" t="s">
        <v>253</v>
      </c>
      <c r="J1" s="59"/>
      <c r="K1" s="59"/>
      <c r="L1" s="59" t="s">
        <v>254</v>
      </c>
      <c r="M1" s="59"/>
    </row>
    <row r="2" spans="1:13">
      <c r="A2" s="59" t="s">
        <v>240</v>
      </c>
      <c r="B2" s="59" t="s">
        <v>239</v>
      </c>
      <c r="C2" s="59" t="s">
        <v>250</v>
      </c>
      <c r="D2" s="59" t="s">
        <v>124</v>
      </c>
      <c r="E2" s="59" t="s">
        <v>125</v>
      </c>
      <c r="F2" s="59" t="s">
        <v>249</v>
      </c>
      <c r="G2" s="59" t="s">
        <v>124</v>
      </c>
      <c r="H2" s="59" t="s">
        <v>125</v>
      </c>
      <c r="I2" s="59" t="s">
        <v>249</v>
      </c>
      <c r="J2" s="59" t="s">
        <v>124</v>
      </c>
      <c r="K2" s="59" t="s">
        <v>125</v>
      </c>
      <c r="L2" s="59" t="s">
        <v>249</v>
      </c>
      <c r="M2" s="59" t="s">
        <v>251</v>
      </c>
    </row>
    <row r="3" spans="1:13">
      <c r="A3" s="62" t="s">
        <v>241</v>
      </c>
      <c r="B3" s="57" t="s">
        <v>127</v>
      </c>
      <c r="C3" s="60">
        <v>1.1761974999999998</v>
      </c>
      <c r="D3" s="60">
        <v>19.190000000000001</v>
      </c>
      <c r="E3" s="60">
        <v>304.89999999999998</v>
      </c>
      <c r="F3" s="14">
        <v>15.888483585200623</v>
      </c>
      <c r="G3" s="60">
        <v>20.76</v>
      </c>
      <c r="H3" s="58">
        <v>366.25</v>
      </c>
      <c r="I3" s="14">
        <f>H3/G3</f>
        <v>17.642100192678225</v>
      </c>
      <c r="J3" s="60">
        <v>20.74</v>
      </c>
      <c r="K3" s="60">
        <v>288.29999999999995</v>
      </c>
      <c r="L3" s="14">
        <v>13.900675024108002</v>
      </c>
      <c r="M3" s="61">
        <v>15.810419600662284</v>
      </c>
    </row>
    <row r="4" spans="1:13">
      <c r="A4" s="62" t="s">
        <v>242</v>
      </c>
      <c r="B4" s="57" t="s">
        <v>128</v>
      </c>
      <c r="C4" s="60">
        <v>1.3261324999999997</v>
      </c>
      <c r="D4" s="60">
        <v>25.74</v>
      </c>
      <c r="E4" s="60">
        <v>289</v>
      </c>
      <c r="F4" s="14">
        <v>11.227661227661228</v>
      </c>
      <c r="G4" s="60">
        <v>24.13</v>
      </c>
      <c r="H4" s="58">
        <v>245.85000000000002</v>
      </c>
      <c r="I4" s="14">
        <f t="shared" ref="I4:I10" si="0">H4/G4</f>
        <v>10.188561956071283</v>
      </c>
      <c r="J4" s="60">
        <v>11.35</v>
      </c>
      <c r="K4" s="60">
        <v>245.39999999999998</v>
      </c>
      <c r="L4" s="14">
        <v>21.621145374449338</v>
      </c>
      <c r="M4" s="61">
        <v>14.345789519393948</v>
      </c>
    </row>
    <row r="5" spans="1:13">
      <c r="A5" s="62" t="s">
        <v>243</v>
      </c>
      <c r="B5" s="57" t="s">
        <v>129</v>
      </c>
      <c r="C5" s="60">
        <v>0.65643750000000001</v>
      </c>
      <c r="D5" s="60">
        <v>22.54</v>
      </c>
      <c r="E5" s="60">
        <v>328</v>
      </c>
      <c r="F5" s="14">
        <v>14.551907719609584</v>
      </c>
      <c r="G5" s="60">
        <v>38.340000000000003</v>
      </c>
      <c r="H5" s="58">
        <v>300.55</v>
      </c>
      <c r="I5" s="14">
        <f t="shared" si="0"/>
        <v>7.8390714658320286</v>
      </c>
      <c r="J5" s="60">
        <v>56.04</v>
      </c>
      <c r="K5" s="60">
        <v>242.25</v>
      </c>
      <c r="L5" s="14">
        <v>4.3228051391862952</v>
      </c>
      <c r="M5" s="61">
        <v>8.9045947748759691</v>
      </c>
    </row>
    <row r="6" spans="1:13">
      <c r="A6" s="62" t="s">
        <v>244</v>
      </c>
      <c r="B6" s="57" t="s">
        <v>130</v>
      </c>
      <c r="C6" s="60">
        <v>1.4466950000000001</v>
      </c>
      <c r="D6" s="60">
        <v>31.47</v>
      </c>
      <c r="E6" s="60">
        <v>366.85</v>
      </c>
      <c r="F6" s="14">
        <v>11.657133778201462</v>
      </c>
      <c r="G6" s="60">
        <v>55.2</v>
      </c>
      <c r="H6" s="58">
        <v>454.90000000000003</v>
      </c>
      <c r="I6" s="14">
        <f t="shared" si="0"/>
        <v>8.2409420289855078</v>
      </c>
      <c r="J6" s="60">
        <v>93.65</v>
      </c>
      <c r="K6" s="60">
        <v>286.05</v>
      </c>
      <c r="L6" s="14">
        <v>3.0544580886278698</v>
      </c>
      <c r="M6" s="61">
        <v>7.6508446319382797</v>
      </c>
    </row>
    <row r="7" spans="1:13">
      <c r="A7" s="62" t="s">
        <v>245</v>
      </c>
      <c r="B7" s="57" t="s">
        <v>131</v>
      </c>
      <c r="C7" s="60">
        <v>0.93629999999999991</v>
      </c>
      <c r="D7" s="60">
        <v>34.83</v>
      </c>
      <c r="E7" s="60">
        <v>340.5</v>
      </c>
      <c r="F7" s="14">
        <v>9.7760551248923342</v>
      </c>
      <c r="G7" s="60">
        <v>43.99</v>
      </c>
      <c r="H7" s="58">
        <v>482.35</v>
      </c>
      <c r="I7" s="14">
        <f t="shared" si="0"/>
        <v>10.964992043646284</v>
      </c>
      <c r="J7" s="60">
        <v>55.37</v>
      </c>
      <c r="K7" s="60">
        <v>269.34999999999997</v>
      </c>
      <c r="L7" s="14">
        <v>4.8645475889470831</v>
      </c>
      <c r="M7" s="61">
        <v>8.535198252495233</v>
      </c>
    </row>
    <row r="8" spans="1:13">
      <c r="A8" s="62" t="s">
        <v>246</v>
      </c>
      <c r="B8" s="57" t="s">
        <v>132</v>
      </c>
      <c r="C8" s="60">
        <v>1.3868774999999995</v>
      </c>
      <c r="D8" s="60">
        <v>35.630000000000003</v>
      </c>
      <c r="E8" s="60">
        <v>255.7</v>
      </c>
      <c r="F8" s="14">
        <v>7.1765366264383941</v>
      </c>
      <c r="G8" s="60">
        <v>30.47</v>
      </c>
      <c r="H8" s="58">
        <v>137.69999999999999</v>
      </c>
      <c r="I8" s="14">
        <f t="shared" si="0"/>
        <v>4.5191992123400064</v>
      </c>
      <c r="J8" s="60">
        <v>45.13</v>
      </c>
      <c r="K8" s="60">
        <v>260.85000000000002</v>
      </c>
      <c r="L8" s="14">
        <v>5.7799689785065365</v>
      </c>
      <c r="M8" s="61">
        <v>5.8252349390949787</v>
      </c>
    </row>
    <row r="9" spans="1:13">
      <c r="A9" s="62" t="s">
        <v>247</v>
      </c>
      <c r="B9" s="57" t="s">
        <v>133</v>
      </c>
      <c r="C9" s="60">
        <v>0.93803749999999986</v>
      </c>
      <c r="D9" s="60">
        <v>42.6</v>
      </c>
      <c r="E9" s="60">
        <v>317.75</v>
      </c>
      <c r="F9" s="14">
        <v>7.458920187793427</v>
      </c>
      <c r="G9" s="60">
        <v>47.2</v>
      </c>
      <c r="H9" s="58">
        <v>316.70000000000005</v>
      </c>
      <c r="I9" s="14">
        <f t="shared" si="0"/>
        <v>6.7097457627118651</v>
      </c>
      <c r="J9" s="60">
        <v>46.72</v>
      </c>
      <c r="K9" s="60">
        <v>271.60000000000002</v>
      </c>
      <c r="L9" s="14">
        <v>5.8133561643835625</v>
      </c>
      <c r="M9" s="61">
        <v>6.6606740382962855</v>
      </c>
    </row>
    <row r="10" spans="1:13">
      <c r="A10" s="62" t="s">
        <v>248</v>
      </c>
      <c r="B10" s="57" t="s">
        <v>134</v>
      </c>
      <c r="C10" s="60">
        <v>1.1588924999999999</v>
      </c>
      <c r="D10" s="60">
        <v>13.76</v>
      </c>
      <c r="E10" s="60">
        <v>329.85</v>
      </c>
      <c r="F10" s="14">
        <v>23.971656976744189</v>
      </c>
      <c r="G10" s="60">
        <v>25.36</v>
      </c>
      <c r="H10" s="58">
        <v>261.75</v>
      </c>
      <c r="I10" s="14">
        <f t="shared" si="0"/>
        <v>10.321372239747634</v>
      </c>
      <c r="J10" s="60">
        <v>46.25</v>
      </c>
      <c r="K10" s="60">
        <v>268.85000000000002</v>
      </c>
      <c r="L10" s="14">
        <v>5.8129729729729736</v>
      </c>
      <c r="M10" s="61">
        <v>13.368667396488265</v>
      </c>
    </row>
    <row r="12" spans="1:13">
      <c r="A12" s="50"/>
      <c r="B12" s="188" t="s">
        <v>261</v>
      </c>
      <c r="C12" s="188"/>
      <c r="D12" s="188"/>
      <c r="E12" s="188" t="s">
        <v>262</v>
      </c>
      <c r="F12" s="188"/>
      <c r="G12" s="188"/>
    </row>
    <row r="13" spans="1:13">
      <c r="A13" s="50"/>
      <c r="B13" s="67" t="s">
        <v>141</v>
      </c>
      <c r="C13" s="67" t="s">
        <v>142</v>
      </c>
      <c r="D13" s="67" t="s">
        <v>260</v>
      </c>
      <c r="E13" s="67" t="s">
        <v>141</v>
      </c>
      <c r="F13" s="67" t="s">
        <v>142</v>
      </c>
      <c r="G13" s="67" t="s">
        <v>260</v>
      </c>
    </row>
    <row r="14" spans="1:13">
      <c r="A14" s="11" t="s">
        <v>144</v>
      </c>
      <c r="B14" s="68">
        <v>73</v>
      </c>
      <c r="C14" s="68">
        <v>263</v>
      </c>
      <c r="D14" s="68">
        <v>335.99999999999994</v>
      </c>
      <c r="E14" s="68"/>
      <c r="F14" s="68"/>
      <c r="G14" s="68"/>
    </row>
    <row r="15" spans="1:13">
      <c r="A15" s="11" t="s">
        <v>146</v>
      </c>
      <c r="B15" s="68">
        <v>45.333333333333336</v>
      </c>
      <c r="C15" s="68">
        <v>126.66666666666667</v>
      </c>
      <c r="D15" s="68">
        <v>172</v>
      </c>
      <c r="E15" s="68"/>
      <c r="F15" s="68"/>
      <c r="G15" s="68"/>
    </row>
    <row r="16" spans="1:13">
      <c r="A16" s="11" t="s">
        <v>149</v>
      </c>
      <c r="B16" s="68">
        <v>62</v>
      </c>
      <c r="C16" s="68">
        <v>133</v>
      </c>
      <c r="D16" s="68">
        <v>195</v>
      </c>
      <c r="E16" s="68"/>
      <c r="F16" s="68"/>
      <c r="G16" s="68"/>
    </row>
    <row r="17" spans="1:14">
      <c r="A17" s="11" t="s">
        <v>169</v>
      </c>
      <c r="B17" s="68">
        <v>68</v>
      </c>
      <c r="C17" s="68">
        <v>94</v>
      </c>
      <c r="D17" s="68">
        <v>161.99999999999997</v>
      </c>
      <c r="E17" s="68"/>
      <c r="F17" s="68"/>
      <c r="G17" s="68"/>
    </row>
    <row r="18" spans="1:14">
      <c r="A18" s="11" t="s">
        <v>152</v>
      </c>
      <c r="B18" s="68">
        <v>52.000000000000007</v>
      </c>
      <c r="C18" s="68">
        <v>138</v>
      </c>
      <c r="D18" s="68">
        <v>190</v>
      </c>
      <c r="E18" s="68">
        <v>67</v>
      </c>
      <c r="F18" s="68">
        <v>152</v>
      </c>
      <c r="G18" s="68">
        <v>219</v>
      </c>
    </row>
    <row r="19" spans="1:14">
      <c r="A19" s="11" t="s">
        <v>156</v>
      </c>
      <c r="B19" s="68">
        <v>32</v>
      </c>
      <c r="C19" s="68">
        <v>66.400000000000006</v>
      </c>
      <c r="D19" s="68">
        <v>98.4</v>
      </c>
      <c r="E19" s="68">
        <v>35.200000000000003</v>
      </c>
      <c r="F19" s="68">
        <v>64</v>
      </c>
      <c r="G19" s="68">
        <v>99.2</v>
      </c>
    </row>
    <row r="20" spans="1:14">
      <c r="A20" s="11" t="s">
        <v>161</v>
      </c>
      <c r="B20" s="68">
        <v>33.200000000000003</v>
      </c>
      <c r="C20" s="68">
        <v>73.5</v>
      </c>
      <c r="D20" s="68">
        <v>92</v>
      </c>
      <c r="E20" s="68">
        <v>37</v>
      </c>
      <c r="F20" s="68">
        <v>80.999999999999986</v>
      </c>
      <c r="G20" s="68">
        <v>118.00000000000001</v>
      </c>
    </row>
    <row r="21" spans="1:14">
      <c r="A21" s="11" t="s">
        <v>171</v>
      </c>
      <c r="B21" s="68">
        <v>31.5</v>
      </c>
      <c r="C21" s="68">
        <v>67.499999999999986</v>
      </c>
      <c r="D21" s="68">
        <v>99</v>
      </c>
      <c r="E21" s="68"/>
      <c r="F21" s="68"/>
      <c r="G21" s="68"/>
    </row>
    <row r="23" spans="1:14">
      <c r="A23" s="190" t="s">
        <v>239</v>
      </c>
      <c r="B23" s="190" t="s">
        <v>240</v>
      </c>
      <c r="C23" s="189" t="s">
        <v>258</v>
      </c>
      <c r="D23" s="189"/>
      <c r="E23" s="189"/>
      <c r="F23" s="189"/>
      <c r="G23" s="189" t="s">
        <v>259</v>
      </c>
      <c r="H23" s="189"/>
      <c r="I23" s="189"/>
      <c r="J23" s="70" t="s">
        <v>264</v>
      </c>
      <c r="K23" s="189" t="s">
        <v>265</v>
      </c>
      <c r="L23" s="189"/>
      <c r="M23" s="189"/>
      <c r="N23" s="189"/>
    </row>
    <row r="24" spans="1:14" ht="32.25" customHeight="1">
      <c r="A24" s="190"/>
      <c r="B24" s="190"/>
      <c r="C24" s="57" t="s">
        <v>255</v>
      </c>
      <c r="D24" s="57" t="s">
        <v>253</v>
      </c>
      <c r="E24" s="57" t="s">
        <v>256</v>
      </c>
      <c r="F24" s="169" t="s">
        <v>488</v>
      </c>
      <c r="G24" s="57" t="s">
        <v>252</v>
      </c>
      <c r="H24" s="57" t="s">
        <v>253</v>
      </c>
      <c r="I24" s="57" t="s">
        <v>257</v>
      </c>
      <c r="J24" s="57" t="s">
        <v>263</v>
      </c>
      <c r="K24" s="57" t="s">
        <v>141</v>
      </c>
      <c r="L24" s="57" t="s">
        <v>142</v>
      </c>
      <c r="M24" s="57" t="s">
        <v>260</v>
      </c>
      <c r="N24" s="57" t="s">
        <v>266</v>
      </c>
    </row>
    <row r="25" spans="1:14">
      <c r="A25" s="57" t="s">
        <v>127</v>
      </c>
      <c r="B25" s="62" t="s">
        <v>241</v>
      </c>
      <c r="C25" s="14">
        <v>15.888483585200623</v>
      </c>
      <c r="D25" s="14">
        <v>17.642100192678225</v>
      </c>
      <c r="E25" s="14">
        <v>13.900675024108002</v>
      </c>
      <c r="F25" s="66">
        <v>15.810419600662284</v>
      </c>
      <c r="G25" s="61">
        <v>1.2652375</v>
      </c>
      <c r="H25" s="61">
        <v>1.1761974999999998</v>
      </c>
      <c r="I25" s="64">
        <f>(G25-H25)/G25*100</f>
        <v>7.0374139242632499</v>
      </c>
      <c r="J25" s="63">
        <v>11.72</v>
      </c>
      <c r="K25" s="69">
        <v>73</v>
      </c>
      <c r="L25" s="69">
        <v>263</v>
      </c>
      <c r="M25" s="69">
        <v>335.99999999999994</v>
      </c>
      <c r="N25" s="65">
        <f>L25/K25</f>
        <v>3.6027397260273974</v>
      </c>
    </row>
    <row r="26" spans="1:14">
      <c r="A26" s="57" t="s">
        <v>128</v>
      </c>
      <c r="B26" s="62" t="s">
        <v>242</v>
      </c>
      <c r="C26" s="14">
        <v>11.227661227661228</v>
      </c>
      <c r="D26" s="14">
        <v>10.188561956071283</v>
      </c>
      <c r="E26" s="14">
        <v>21.621145374449338</v>
      </c>
      <c r="F26" s="66">
        <v>14.345789519393948</v>
      </c>
      <c r="G26" s="61">
        <v>1.1923124999999997</v>
      </c>
      <c r="H26" s="61">
        <v>1.3261324999999997</v>
      </c>
      <c r="I26" s="64">
        <f t="shared" ref="I26:I32" si="1">(G26-H26)/G26*100</f>
        <v>-11.223567646904657</v>
      </c>
      <c r="J26" s="63">
        <v>12.468571428571426</v>
      </c>
      <c r="K26" s="69">
        <v>45.333333333333336</v>
      </c>
      <c r="L26" s="69">
        <v>126.66666666666667</v>
      </c>
      <c r="M26" s="69">
        <v>172</v>
      </c>
      <c r="N26" s="65">
        <f t="shared" ref="N26:N32" si="2">L26/K26</f>
        <v>2.7941176470588234</v>
      </c>
    </row>
    <row r="27" spans="1:14">
      <c r="A27" s="57" t="s">
        <v>129</v>
      </c>
      <c r="B27" s="62" t="s">
        <v>243</v>
      </c>
      <c r="C27" s="14">
        <v>14.551907719609584</v>
      </c>
      <c r="D27" s="14">
        <v>7.8390714658320286</v>
      </c>
      <c r="E27" s="14">
        <v>4.3228051391862952</v>
      </c>
      <c r="F27" s="66">
        <v>8.9045947748759691</v>
      </c>
      <c r="G27" s="61">
        <v>1.2940425</v>
      </c>
      <c r="H27" s="61">
        <v>0.65643750000000001</v>
      </c>
      <c r="I27" s="64">
        <f t="shared" si="1"/>
        <v>49.272338427833709</v>
      </c>
      <c r="J27" s="63">
        <v>14.605714285714285</v>
      </c>
      <c r="K27" s="69">
        <v>62</v>
      </c>
      <c r="L27" s="69">
        <v>133</v>
      </c>
      <c r="M27" s="69">
        <v>195</v>
      </c>
      <c r="N27" s="65">
        <f t="shared" si="2"/>
        <v>2.1451612903225805</v>
      </c>
    </row>
    <row r="28" spans="1:14">
      <c r="A28" s="57" t="s">
        <v>130</v>
      </c>
      <c r="B28" s="62" t="s">
        <v>244</v>
      </c>
      <c r="C28" s="14">
        <v>11.657133778201462</v>
      </c>
      <c r="D28" s="14">
        <v>8.2409420289855078</v>
      </c>
      <c r="E28" s="14">
        <v>3.0544580886278698</v>
      </c>
      <c r="F28" s="66">
        <v>7.6508446319382797</v>
      </c>
      <c r="G28" s="61">
        <v>1.5470575</v>
      </c>
      <c r="H28" s="61">
        <v>1</v>
      </c>
      <c r="I28" s="64">
        <f t="shared" si="1"/>
        <v>35.361161430651414</v>
      </c>
      <c r="J28" s="63">
        <v>15.062857142857142</v>
      </c>
      <c r="K28" s="69">
        <v>68</v>
      </c>
      <c r="L28" s="69">
        <v>94</v>
      </c>
      <c r="M28" s="69">
        <v>161.99999999999997</v>
      </c>
      <c r="N28" s="65">
        <f t="shared" si="2"/>
        <v>1.3823529411764706</v>
      </c>
    </row>
    <row r="29" spans="1:14">
      <c r="A29" s="57" t="s">
        <v>131</v>
      </c>
      <c r="B29" s="62" t="s">
        <v>245</v>
      </c>
      <c r="C29" s="14">
        <v>9.7760551248923342</v>
      </c>
      <c r="D29" s="14">
        <v>10.964992043646284</v>
      </c>
      <c r="E29" s="14">
        <v>4.8645475889470831</v>
      </c>
      <c r="F29" s="66">
        <v>8.535198252495233</v>
      </c>
      <c r="G29" s="61">
        <v>1.4020699999999999</v>
      </c>
      <c r="H29" s="61">
        <v>0.93629999999999991</v>
      </c>
      <c r="I29" s="64">
        <f t="shared" si="1"/>
        <v>33.220167324028047</v>
      </c>
      <c r="J29" s="63">
        <v>13.634285714285713</v>
      </c>
      <c r="K29" s="69">
        <v>52.000000000000007</v>
      </c>
      <c r="L29" s="69">
        <v>138</v>
      </c>
      <c r="M29" s="69">
        <v>190</v>
      </c>
      <c r="N29" s="65">
        <f t="shared" si="2"/>
        <v>2.6538461538461533</v>
      </c>
    </row>
    <row r="30" spans="1:14">
      <c r="A30" s="57" t="s">
        <v>132</v>
      </c>
      <c r="B30" s="62" t="s">
        <v>246</v>
      </c>
      <c r="C30" s="14">
        <v>7.1765366264383941</v>
      </c>
      <c r="D30" s="14">
        <v>4.5191992123400064</v>
      </c>
      <c r="E30" s="14">
        <v>5.7799689785065365</v>
      </c>
      <c r="F30" s="66">
        <v>5.8252349390949787</v>
      </c>
      <c r="G30" s="61">
        <v>1.3855699999999997</v>
      </c>
      <c r="H30" s="61">
        <v>1.1000000000000001</v>
      </c>
      <c r="I30" s="64">
        <f t="shared" si="1"/>
        <v>20.610290349819909</v>
      </c>
      <c r="J30" s="63">
        <v>14.82285714285714</v>
      </c>
      <c r="K30" s="69">
        <v>32</v>
      </c>
      <c r="L30" s="69">
        <v>66.400000000000006</v>
      </c>
      <c r="M30" s="69">
        <v>98.4</v>
      </c>
      <c r="N30" s="65">
        <f t="shared" si="2"/>
        <v>2.0750000000000002</v>
      </c>
    </row>
    <row r="31" spans="1:14">
      <c r="A31" s="57" t="s">
        <v>133</v>
      </c>
      <c r="B31" s="62" t="s">
        <v>247</v>
      </c>
      <c r="C31" s="14">
        <v>7.458920187793427</v>
      </c>
      <c r="D31" s="14">
        <v>6.7097457627118651</v>
      </c>
      <c r="E31" s="14">
        <v>5.8133561643835625</v>
      </c>
      <c r="F31" s="66">
        <v>6.6606740382962855</v>
      </c>
      <c r="G31" s="61">
        <v>1.3713999999999997</v>
      </c>
      <c r="H31" s="61">
        <v>0.93803749999999986</v>
      </c>
      <c r="I31" s="64">
        <f t="shared" si="1"/>
        <v>31.600007291818578</v>
      </c>
      <c r="J31" s="63">
        <v>13.177142857142856</v>
      </c>
      <c r="K31" s="69">
        <v>33.200000000000003</v>
      </c>
      <c r="L31" s="69">
        <v>73.5</v>
      </c>
      <c r="M31" s="69">
        <v>92</v>
      </c>
      <c r="N31" s="65">
        <f t="shared" si="2"/>
        <v>2.213855421686747</v>
      </c>
    </row>
    <row r="32" spans="1:14">
      <c r="A32" s="57" t="s">
        <v>134</v>
      </c>
      <c r="B32" s="62" t="s">
        <v>248</v>
      </c>
      <c r="C32" s="14">
        <v>23.971656976744189</v>
      </c>
      <c r="D32" s="14">
        <v>10.321372239747634</v>
      </c>
      <c r="E32" s="14">
        <v>5.8129729729729736</v>
      </c>
      <c r="F32" s="66">
        <v>13.368667396488265</v>
      </c>
      <c r="G32" s="61">
        <v>1.3022925000000001</v>
      </c>
      <c r="H32" s="61">
        <v>1.1588924999999999</v>
      </c>
      <c r="I32" s="64">
        <f t="shared" si="1"/>
        <v>11.011351136553438</v>
      </c>
      <c r="J32" s="63">
        <v>10.6971428571429</v>
      </c>
      <c r="K32" s="69">
        <v>31.5</v>
      </c>
      <c r="L32" s="69">
        <v>97.5</v>
      </c>
      <c r="M32" s="69">
        <v>99</v>
      </c>
      <c r="N32" s="65">
        <f t="shared" si="2"/>
        <v>3.0952380952380953</v>
      </c>
    </row>
    <row r="56" spans="1:14" ht="15.75" thickBot="1"/>
    <row r="57" spans="1:14" ht="15.75" thickBot="1">
      <c r="A57" s="183" t="s">
        <v>239</v>
      </c>
      <c r="B57" s="183" t="s">
        <v>240</v>
      </c>
      <c r="C57" s="185" t="s">
        <v>258</v>
      </c>
      <c r="D57" s="186"/>
      <c r="E57" s="186"/>
      <c r="F57" s="187"/>
      <c r="G57" s="185" t="s">
        <v>259</v>
      </c>
      <c r="H57" s="186"/>
      <c r="I57" s="187"/>
      <c r="J57" s="127" t="s">
        <v>138</v>
      </c>
      <c r="K57" s="185" t="s">
        <v>265</v>
      </c>
      <c r="L57" s="186"/>
      <c r="M57" s="186"/>
      <c r="N57" s="187"/>
    </row>
    <row r="58" spans="1:14" ht="15.75" thickBot="1">
      <c r="A58" s="184"/>
      <c r="B58" s="184"/>
      <c r="C58" s="128" t="s">
        <v>255</v>
      </c>
      <c r="D58" s="128" t="s">
        <v>253</v>
      </c>
      <c r="E58" s="128" t="s">
        <v>256</v>
      </c>
      <c r="F58" s="128" t="s">
        <v>488</v>
      </c>
      <c r="G58" s="128" t="s">
        <v>252</v>
      </c>
      <c r="H58" s="128" t="s">
        <v>253</v>
      </c>
      <c r="I58" s="128" t="s">
        <v>257</v>
      </c>
      <c r="J58" s="128" t="s">
        <v>429</v>
      </c>
      <c r="K58" s="128" t="s">
        <v>141</v>
      </c>
      <c r="L58" s="128" t="s">
        <v>142</v>
      </c>
      <c r="M58" s="128" t="s">
        <v>260</v>
      </c>
      <c r="N58" s="128" t="s">
        <v>266</v>
      </c>
    </row>
    <row r="59" spans="1:14" ht="15.75" thickBot="1">
      <c r="A59" s="129" t="s">
        <v>127</v>
      </c>
      <c r="B59" s="130" t="s">
        <v>241</v>
      </c>
      <c r="C59" s="131">
        <v>15.9</v>
      </c>
      <c r="D59" s="131">
        <v>17.600000000000001</v>
      </c>
      <c r="E59" s="131">
        <v>13.9</v>
      </c>
      <c r="F59" s="131">
        <v>15.8</v>
      </c>
      <c r="G59" s="132">
        <v>1.3</v>
      </c>
      <c r="H59" s="132">
        <v>1.2</v>
      </c>
      <c r="I59" s="133">
        <v>7</v>
      </c>
      <c r="J59" s="134">
        <v>11.7</v>
      </c>
      <c r="K59" s="135">
        <v>73</v>
      </c>
      <c r="L59" s="135">
        <v>263</v>
      </c>
      <c r="M59" s="135">
        <v>336</v>
      </c>
      <c r="N59" s="135">
        <v>3.6</v>
      </c>
    </row>
    <row r="60" spans="1:14" ht="15.75" thickBot="1">
      <c r="A60" s="129" t="s">
        <v>128</v>
      </c>
      <c r="B60" s="130" t="s">
        <v>242</v>
      </c>
      <c r="C60" s="131">
        <v>11.2</v>
      </c>
      <c r="D60" s="131">
        <v>10.199999999999999</v>
      </c>
      <c r="E60" s="131">
        <v>21.6</v>
      </c>
      <c r="F60" s="131">
        <v>14.3</v>
      </c>
      <c r="G60" s="132">
        <v>1.2</v>
      </c>
      <c r="H60" s="132">
        <v>1.3</v>
      </c>
      <c r="I60" s="133">
        <v>-11.2</v>
      </c>
      <c r="J60" s="134">
        <v>12.5</v>
      </c>
      <c r="K60" s="135">
        <v>45.3</v>
      </c>
      <c r="L60" s="135">
        <v>126.7</v>
      </c>
      <c r="M60" s="135">
        <v>172</v>
      </c>
      <c r="N60" s="135">
        <v>2.8</v>
      </c>
    </row>
    <row r="61" spans="1:14" ht="15.75" thickBot="1">
      <c r="A61" s="129" t="s">
        <v>129</v>
      </c>
      <c r="B61" s="130" t="s">
        <v>243</v>
      </c>
      <c r="C61" s="131">
        <v>14.6</v>
      </c>
      <c r="D61" s="131">
        <v>7.8</v>
      </c>
      <c r="E61" s="131">
        <v>4.3</v>
      </c>
      <c r="F61" s="131">
        <v>8.9</v>
      </c>
      <c r="G61" s="132">
        <v>1.3</v>
      </c>
      <c r="H61" s="132">
        <v>0.7</v>
      </c>
      <c r="I61" s="133">
        <v>49.3</v>
      </c>
      <c r="J61" s="134">
        <v>14.6</v>
      </c>
      <c r="K61" s="135">
        <v>62</v>
      </c>
      <c r="L61" s="135">
        <v>133</v>
      </c>
      <c r="M61" s="135">
        <v>195</v>
      </c>
      <c r="N61" s="135">
        <v>2.1</v>
      </c>
    </row>
    <row r="62" spans="1:14" ht="15.75" thickBot="1">
      <c r="A62" s="129" t="s">
        <v>130</v>
      </c>
      <c r="B62" s="130" t="s">
        <v>244</v>
      </c>
      <c r="C62" s="131">
        <v>11.7</v>
      </c>
      <c r="D62" s="131">
        <v>8.1999999999999993</v>
      </c>
      <c r="E62" s="131">
        <v>3.1</v>
      </c>
      <c r="F62" s="131">
        <v>7.7</v>
      </c>
      <c r="G62" s="132">
        <v>1.5</v>
      </c>
      <c r="H62" s="132">
        <v>1</v>
      </c>
      <c r="I62" s="133">
        <v>35.4</v>
      </c>
      <c r="J62" s="134">
        <v>15.1</v>
      </c>
      <c r="K62" s="135">
        <v>68</v>
      </c>
      <c r="L62" s="135">
        <v>94</v>
      </c>
      <c r="M62" s="135">
        <v>162</v>
      </c>
      <c r="N62" s="135">
        <v>1.4</v>
      </c>
    </row>
    <row r="63" spans="1:14" ht="15.75" thickBot="1">
      <c r="A63" s="129" t="s">
        <v>131</v>
      </c>
      <c r="B63" s="130" t="s">
        <v>245</v>
      </c>
      <c r="C63" s="131">
        <v>9.8000000000000007</v>
      </c>
      <c r="D63" s="131">
        <v>11</v>
      </c>
      <c r="E63" s="131">
        <v>4.9000000000000004</v>
      </c>
      <c r="F63" s="131">
        <v>8.5</v>
      </c>
      <c r="G63" s="132">
        <v>1.4</v>
      </c>
      <c r="H63" s="132">
        <v>0.9</v>
      </c>
      <c r="I63" s="133">
        <v>33.200000000000003</v>
      </c>
      <c r="J63" s="134">
        <v>13.6</v>
      </c>
      <c r="K63" s="135">
        <v>52</v>
      </c>
      <c r="L63" s="135">
        <v>138</v>
      </c>
      <c r="M63" s="135">
        <v>190</v>
      </c>
      <c r="N63" s="135">
        <v>2.7</v>
      </c>
    </row>
    <row r="64" spans="1:14" ht="15.75" thickBot="1">
      <c r="A64" s="129" t="s">
        <v>132</v>
      </c>
      <c r="B64" s="130" t="s">
        <v>246</v>
      </c>
      <c r="C64" s="131">
        <v>7.2</v>
      </c>
      <c r="D64" s="131">
        <v>4.5</v>
      </c>
      <c r="E64" s="131">
        <v>5.8</v>
      </c>
      <c r="F64" s="131">
        <v>5.8</v>
      </c>
      <c r="G64" s="132">
        <v>1.4</v>
      </c>
      <c r="H64" s="132">
        <v>1.1000000000000001</v>
      </c>
      <c r="I64" s="133">
        <v>20.6</v>
      </c>
      <c r="J64" s="134">
        <v>14.8</v>
      </c>
      <c r="K64" s="135">
        <v>32</v>
      </c>
      <c r="L64" s="135">
        <v>66.400000000000006</v>
      </c>
      <c r="M64" s="135">
        <v>98.4</v>
      </c>
      <c r="N64" s="135">
        <v>2.1</v>
      </c>
    </row>
    <row r="65" spans="1:14" ht="15.75" thickBot="1">
      <c r="A65" s="129" t="s">
        <v>133</v>
      </c>
      <c r="B65" s="130" t="s">
        <v>247</v>
      </c>
      <c r="C65" s="131">
        <v>7.5</v>
      </c>
      <c r="D65" s="131">
        <v>6.7</v>
      </c>
      <c r="E65" s="131">
        <v>5.8</v>
      </c>
      <c r="F65" s="131">
        <v>6.7</v>
      </c>
      <c r="G65" s="132">
        <v>1.4</v>
      </c>
      <c r="H65" s="132">
        <v>0.9</v>
      </c>
      <c r="I65" s="133">
        <v>31.6</v>
      </c>
      <c r="J65" s="134">
        <v>13.2</v>
      </c>
      <c r="K65" s="135">
        <v>33.200000000000003</v>
      </c>
      <c r="L65" s="135">
        <v>73.5</v>
      </c>
      <c r="M65" s="135">
        <v>92</v>
      </c>
      <c r="N65" s="135">
        <v>2.2000000000000002</v>
      </c>
    </row>
    <row r="66" spans="1:14" ht="15.75" thickBot="1">
      <c r="A66" s="129" t="s">
        <v>134</v>
      </c>
      <c r="B66" s="130" t="s">
        <v>248</v>
      </c>
      <c r="C66" s="131">
        <v>24</v>
      </c>
      <c r="D66" s="131">
        <v>10.3</v>
      </c>
      <c r="E66" s="131">
        <v>5.8</v>
      </c>
      <c r="F66" s="131">
        <v>13.4</v>
      </c>
      <c r="G66" s="132">
        <v>1.3</v>
      </c>
      <c r="H66" s="132">
        <v>1.2</v>
      </c>
      <c r="I66" s="133">
        <v>11</v>
      </c>
      <c r="J66" s="134">
        <v>10.7</v>
      </c>
      <c r="K66" s="135">
        <v>31.5</v>
      </c>
      <c r="L66" s="135">
        <v>97.5</v>
      </c>
      <c r="M66" s="135">
        <v>99</v>
      </c>
      <c r="N66" s="135">
        <v>3.1</v>
      </c>
    </row>
  </sheetData>
  <mergeCells count="12">
    <mergeCell ref="B12:D12"/>
    <mergeCell ref="E12:G12"/>
    <mergeCell ref="K23:N23"/>
    <mergeCell ref="B23:B24"/>
    <mergeCell ref="A23:A24"/>
    <mergeCell ref="C23:F23"/>
    <mergeCell ref="G23:I23"/>
    <mergeCell ref="A57:A58"/>
    <mergeCell ref="B57:B58"/>
    <mergeCell ref="C57:F57"/>
    <mergeCell ref="G57:I57"/>
    <mergeCell ref="K57:N5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I51"/>
  <sheetViews>
    <sheetView topLeftCell="A29" workbookViewId="0">
      <selection activeCell="L29" sqref="L29"/>
    </sheetView>
  </sheetViews>
  <sheetFormatPr defaultRowHeight="15"/>
  <cols>
    <col min="1" max="1" width="12.5703125" bestFit="1" customWidth="1"/>
    <col min="2" max="2" width="16.42578125" bestFit="1" customWidth="1"/>
    <col min="3" max="3" width="21.42578125" bestFit="1" customWidth="1"/>
    <col min="4" max="4" width="13.7109375" bestFit="1" customWidth="1"/>
    <col min="5" max="5" width="16.140625" bestFit="1" customWidth="1"/>
    <col min="6" max="6" width="7.7109375" bestFit="1" customWidth="1"/>
    <col min="7" max="7" width="20.28515625" bestFit="1" customWidth="1"/>
    <col min="8" max="8" width="5.7109375" bestFit="1" customWidth="1"/>
    <col min="9" max="9" width="6" bestFit="1" customWidth="1"/>
  </cols>
  <sheetData>
    <row r="1" spans="1:9">
      <c r="A1" s="51" t="s">
        <v>94</v>
      </c>
      <c r="B1" s="51" t="s">
        <v>27</v>
      </c>
      <c r="C1" s="51" t="s">
        <v>36</v>
      </c>
      <c r="D1" s="51" t="s">
        <v>273</v>
      </c>
      <c r="E1" s="51" t="s">
        <v>274</v>
      </c>
      <c r="F1" s="51" t="s">
        <v>275</v>
      </c>
      <c r="G1" s="51" t="s">
        <v>125</v>
      </c>
      <c r="H1" s="51" t="s">
        <v>276</v>
      </c>
      <c r="I1" s="51" t="s">
        <v>277</v>
      </c>
    </row>
    <row r="2" spans="1:9">
      <c r="A2" s="52" t="s">
        <v>278</v>
      </c>
      <c r="B2" s="52">
        <v>1</v>
      </c>
      <c r="C2" s="52">
        <v>1</v>
      </c>
      <c r="D2" s="52">
        <v>96.8</v>
      </c>
      <c r="E2" s="52">
        <v>1.1599999999999999</v>
      </c>
      <c r="F2" s="52">
        <v>21.15</v>
      </c>
      <c r="G2" s="52">
        <v>151.85</v>
      </c>
      <c r="H2" s="52">
        <v>7.2</v>
      </c>
      <c r="I2" s="52">
        <v>4692</v>
      </c>
    </row>
    <row r="3" spans="1:9">
      <c r="A3" s="52" t="s">
        <v>96</v>
      </c>
      <c r="B3" s="52">
        <v>1</v>
      </c>
      <c r="C3" s="52">
        <v>2</v>
      </c>
      <c r="D3" s="52">
        <v>102.4</v>
      </c>
      <c r="E3" s="52">
        <v>1.23</v>
      </c>
      <c r="F3" s="52">
        <v>17.22</v>
      </c>
      <c r="G3" s="52">
        <v>163.5</v>
      </c>
      <c r="H3" s="52">
        <v>9.5</v>
      </c>
      <c r="I3" s="52">
        <v>4570</v>
      </c>
    </row>
    <row r="4" spans="1:9">
      <c r="A4" s="52" t="s">
        <v>95</v>
      </c>
      <c r="B4" s="52">
        <v>1</v>
      </c>
      <c r="C4" s="52">
        <v>3</v>
      </c>
      <c r="D4" s="52">
        <v>133.80000000000001</v>
      </c>
      <c r="E4" s="52">
        <v>1.55</v>
      </c>
      <c r="F4" s="52">
        <v>14.52</v>
      </c>
      <c r="G4" s="52">
        <v>174.35</v>
      </c>
      <c r="H4" s="52">
        <v>12</v>
      </c>
      <c r="I4" s="52">
        <v>6898</v>
      </c>
    </row>
    <row r="5" spans="1:9">
      <c r="A5" s="52" t="s">
        <v>97</v>
      </c>
      <c r="B5" s="52">
        <v>1</v>
      </c>
      <c r="C5" s="52">
        <v>4</v>
      </c>
      <c r="D5" s="52">
        <v>117.2</v>
      </c>
      <c r="E5" s="52">
        <v>1.27</v>
      </c>
      <c r="F5" s="52">
        <v>23.35</v>
      </c>
      <c r="G5" s="52">
        <v>190.45</v>
      </c>
      <c r="H5" s="52">
        <v>8.1999999999999993</v>
      </c>
      <c r="I5" s="52">
        <v>8080</v>
      </c>
    </row>
    <row r="6" spans="1:9">
      <c r="A6" s="52" t="s">
        <v>98</v>
      </c>
      <c r="B6" s="52">
        <v>1</v>
      </c>
      <c r="C6" s="52">
        <v>5</v>
      </c>
      <c r="D6" s="52">
        <v>117.6</v>
      </c>
      <c r="E6" s="52">
        <v>1.4</v>
      </c>
      <c r="F6" s="52">
        <v>20.309999999999999</v>
      </c>
      <c r="G6" s="52">
        <v>170.1</v>
      </c>
      <c r="H6" s="52">
        <v>8.4</v>
      </c>
      <c r="I6" s="52">
        <v>8270</v>
      </c>
    </row>
    <row r="7" spans="1:9">
      <c r="A7" s="52" t="s">
        <v>99</v>
      </c>
      <c r="B7" s="52">
        <v>1</v>
      </c>
      <c r="C7" s="52">
        <v>6</v>
      </c>
      <c r="D7" s="52">
        <v>130.80000000000001</v>
      </c>
      <c r="E7" s="52">
        <v>1.1299999999999999</v>
      </c>
      <c r="F7" s="52">
        <v>26.63</v>
      </c>
      <c r="G7" s="52">
        <v>162.75</v>
      </c>
      <c r="H7" s="52">
        <v>6.1</v>
      </c>
      <c r="I7" s="52">
        <v>5006</v>
      </c>
    </row>
    <row r="8" spans="1:9">
      <c r="A8" s="52" t="s">
        <v>100</v>
      </c>
      <c r="B8" s="52">
        <v>1</v>
      </c>
      <c r="C8" s="52">
        <v>7</v>
      </c>
      <c r="D8" s="52">
        <v>144.19999999999999</v>
      </c>
      <c r="E8" s="52">
        <v>1.44</v>
      </c>
      <c r="F8" s="52">
        <v>26.13</v>
      </c>
      <c r="G8" s="52">
        <v>189</v>
      </c>
      <c r="H8" s="52">
        <v>7.2</v>
      </c>
      <c r="I8" s="52">
        <v>5898</v>
      </c>
    </row>
    <row r="9" spans="1:9">
      <c r="A9" s="52" t="s">
        <v>102</v>
      </c>
      <c r="B9" s="52">
        <v>1</v>
      </c>
      <c r="C9" s="52">
        <v>8</v>
      </c>
      <c r="D9" s="52">
        <v>143</v>
      </c>
      <c r="E9" s="52">
        <v>1.44</v>
      </c>
      <c r="F9" s="52">
        <v>13.26</v>
      </c>
      <c r="G9" s="52">
        <v>196.6</v>
      </c>
      <c r="H9" s="52">
        <v>14.8</v>
      </c>
      <c r="I9" s="52">
        <v>4476</v>
      </c>
    </row>
    <row r="10" spans="1:9">
      <c r="A10" s="52" t="s">
        <v>105</v>
      </c>
      <c r="B10" s="52">
        <v>1</v>
      </c>
      <c r="C10" s="52">
        <v>9</v>
      </c>
      <c r="D10" s="52">
        <v>135</v>
      </c>
      <c r="E10" s="52">
        <v>1.46</v>
      </c>
      <c r="F10" s="52">
        <v>36.619999999999997</v>
      </c>
      <c r="G10" s="52">
        <v>161.85</v>
      </c>
      <c r="H10" s="52">
        <v>4.4000000000000004</v>
      </c>
      <c r="I10" s="52">
        <v>8710</v>
      </c>
    </row>
    <row r="11" spans="1:9">
      <c r="A11" s="52" t="s">
        <v>101</v>
      </c>
      <c r="B11" s="52">
        <v>1</v>
      </c>
      <c r="C11" s="52">
        <v>10</v>
      </c>
      <c r="D11" s="52">
        <v>94.4</v>
      </c>
      <c r="E11" s="52">
        <v>1.33</v>
      </c>
      <c r="F11" s="52">
        <v>24.31</v>
      </c>
      <c r="G11" s="52">
        <v>180.1</v>
      </c>
      <c r="H11" s="52">
        <v>7.4</v>
      </c>
      <c r="I11" s="52">
        <v>10154</v>
      </c>
    </row>
    <row r="12" spans="1:9">
      <c r="A12" s="52" t="s">
        <v>278</v>
      </c>
      <c r="B12" s="52">
        <v>2</v>
      </c>
      <c r="C12" s="52">
        <v>1</v>
      </c>
      <c r="D12" s="52">
        <v>98.6</v>
      </c>
      <c r="E12" s="52">
        <v>1.1399999999999999</v>
      </c>
      <c r="F12" s="52">
        <v>20</v>
      </c>
      <c r="G12" s="52">
        <v>140</v>
      </c>
      <c r="H12" s="52">
        <v>7</v>
      </c>
      <c r="I12" s="52">
        <v>4723</v>
      </c>
    </row>
    <row r="13" spans="1:9">
      <c r="A13" s="52" t="s">
        <v>96</v>
      </c>
      <c r="B13" s="52">
        <v>2</v>
      </c>
      <c r="C13" s="52">
        <v>2</v>
      </c>
      <c r="D13" s="52">
        <v>101.1</v>
      </c>
      <c r="E13" s="52">
        <v>1.2</v>
      </c>
      <c r="F13" s="52">
        <v>20.5</v>
      </c>
      <c r="G13" s="52">
        <v>150.19999999999999</v>
      </c>
      <c r="H13" s="52">
        <v>7.3</v>
      </c>
      <c r="I13" s="52">
        <v>4657</v>
      </c>
    </row>
    <row r="14" spans="1:9">
      <c r="A14" s="52" t="s">
        <v>95</v>
      </c>
      <c r="B14" s="52">
        <v>2</v>
      </c>
      <c r="C14" s="52">
        <v>3</v>
      </c>
      <c r="D14" s="52">
        <v>132.30000000000001</v>
      </c>
      <c r="E14" s="52">
        <v>1.6</v>
      </c>
      <c r="F14" s="52">
        <v>16.2</v>
      </c>
      <c r="G14" s="52">
        <v>180.6</v>
      </c>
      <c r="H14" s="52">
        <v>11.1</v>
      </c>
      <c r="I14" s="52">
        <v>7021</v>
      </c>
    </row>
    <row r="15" spans="1:9">
      <c r="A15" s="52" t="s">
        <v>97</v>
      </c>
      <c r="B15" s="52">
        <v>2</v>
      </c>
      <c r="C15" s="52">
        <v>4</v>
      </c>
      <c r="D15" s="52">
        <v>116.4</v>
      </c>
      <c r="E15" s="52">
        <v>1.3</v>
      </c>
      <c r="F15" s="52">
        <v>25.2</v>
      </c>
      <c r="G15" s="52">
        <v>210.2</v>
      </c>
      <c r="H15" s="52">
        <v>8.3000000000000007</v>
      </c>
      <c r="I15" s="52">
        <v>7958</v>
      </c>
    </row>
    <row r="16" spans="1:9">
      <c r="A16" s="52" t="s">
        <v>98</v>
      </c>
      <c r="B16" s="52">
        <v>2</v>
      </c>
      <c r="C16" s="52">
        <v>5</v>
      </c>
      <c r="D16" s="52">
        <v>115.3</v>
      </c>
      <c r="E16" s="52">
        <v>1.5</v>
      </c>
      <c r="F16" s="52">
        <v>16.5</v>
      </c>
      <c r="G16" s="52">
        <v>195.3</v>
      </c>
      <c r="H16" s="52">
        <v>11.8</v>
      </c>
      <c r="I16" s="52">
        <v>8133</v>
      </c>
    </row>
    <row r="17" spans="1:9">
      <c r="A17" s="52" t="s">
        <v>99</v>
      </c>
      <c r="B17" s="52">
        <v>2</v>
      </c>
      <c r="C17" s="52">
        <v>6</v>
      </c>
      <c r="D17" s="52">
        <v>132.30000000000001</v>
      </c>
      <c r="E17" s="52">
        <v>1.4</v>
      </c>
      <c r="F17" s="52">
        <v>26</v>
      </c>
      <c r="G17" s="52">
        <v>160</v>
      </c>
      <c r="H17" s="52">
        <v>6.2</v>
      </c>
      <c r="I17" s="52">
        <v>4986</v>
      </c>
    </row>
    <row r="18" spans="1:9">
      <c r="A18" s="52" t="s">
        <v>100</v>
      </c>
      <c r="B18" s="52">
        <v>2</v>
      </c>
      <c r="C18" s="52">
        <v>7</v>
      </c>
      <c r="D18" s="52">
        <v>145.30000000000001</v>
      </c>
      <c r="E18" s="52">
        <v>1.45</v>
      </c>
      <c r="F18" s="52">
        <v>25</v>
      </c>
      <c r="G18" s="52">
        <v>170</v>
      </c>
      <c r="H18" s="52">
        <v>6.8</v>
      </c>
      <c r="I18" s="52">
        <v>5623</v>
      </c>
    </row>
    <row r="19" spans="1:9">
      <c r="A19" s="52" t="s">
        <v>102</v>
      </c>
      <c r="B19" s="52">
        <v>2</v>
      </c>
      <c r="C19" s="52">
        <v>8</v>
      </c>
      <c r="D19" s="52">
        <v>144.19999999999999</v>
      </c>
      <c r="E19" s="52">
        <v>1.3</v>
      </c>
      <c r="F19" s="52">
        <v>13</v>
      </c>
      <c r="G19" s="52">
        <v>180</v>
      </c>
      <c r="H19" s="52">
        <v>13.8</v>
      </c>
      <c r="I19" s="52">
        <v>4587</v>
      </c>
    </row>
    <row r="20" spans="1:9">
      <c r="A20" s="52" t="s">
        <v>105</v>
      </c>
      <c r="B20" s="52">
        <v>2</v>
      </c>
      <c r="C20" s="52">
        <v>9</v>
      </c>
      <c r="D20" s="52">
        <v>138</v>
      </c>
      <c r="E20" s="52">
        <v>1.6</v>
      </c>
      <c r="F20" s="52">
        <v>32</v>
      </c>
      <c r="G20" s="52">
        <v>155</v>
      </c>
      <c r="H20" s="52">
        <v>4.8</v>
      </c>
      <c r="I20" s="52">
        <v>8614</v>
      </c>
    </row>
    <row r="21" spans="1:9">
      <c r="A21" s="52" t="s">
        <v>101</v>
      </c>
      <c r="B21" s="52">
        <v>2</v>
      </c>
      <c r="C21" s="52">
        <v>10</v>
      </c>
      <c r="D21" s="52">
        <v>96.4</v>
      </c>
      <c r="E21" s="52">
        <v>1.4</v>
      </c>
      <c r="F21" s="52">
        <v>22</v>
      </c>
      <c r="G21" s="52">
        <v>210</v>
      </c>
      <c r="H21" s="52">
        <v>9.5</v>
      </c>
      <c r="I21" s="52">
        <v>9856</v>
      </c>
    </row>
    <row r="23" spans="1:9">
      <c r="A23" s="76"/>
      <c r="B23" s="75" t="s">
        <v>344</v>
      </c>
      <c r="C23" s="75" t="s">
        <v>272</v>
      </c>
      <c r="D23" s="75" t="s">
        <v>345</v>
      </c>
      <c r="E23" s="75" t="s">
        <v>346</v>
      </c>
      <c r="F23" s="75" t="s">
        <v>249</v>
      </c>
      <c r="G23" s="75" t="s">
        <v>347</v>
      </c>
    </row>
    <row r="24" spans="1:9">
      <c r="A24" s="81" t="s">
        <v>341</v>
      </c>
      <c r="B24" s="83" t="s">
        <v>348</v>
      </c>
      <c r="C24" s="83" t="s">
        <v>349</v>
      </c>
      <c r="D24" s="83" t="s">
        <v>350</v>
      </c>
      <c r="E24" s="83" t="s">
        <v>351</v>
      </c>
      <c r="F24" s="83" t="s">
        <v>352</v>
      </c>
      <c r="G24" s="83" t="s">
        <v>353</v>
      </c>
    </row>
    <row r="25" spans="1:9">
      <c r="A25" s="80" t="s">
        <v>278</v>
      </c>
      <c r="B25" s="12" t="s">
        <v>281</v>
      </c>
      <c r="C25" s="12" t="s">
        <v>291</v>
      </c>
      <c r="D25" s="12" t="s">
        <v>301</v>
      </c>
      <c r="E25" s="12" t="s">
        <v>311</v>
      </c>
      <c r="F25" s="12" t="s">
        <v>321</v>
      </c>
      <c r="G25" s="12" t="s">
        <v>331</v>
      </c>
    </row>
    <row r="26" spans="1:9">
      <c r="A26" s="80" t="s">
        <v>96</v>
      </c>
      <c r="B26" s="12" t="s">
        <v>282</v>
      </c>
      <c r="C26" s="12" t="s">
        <v>292</v>
      </c>
      <c r="D26" s="12" t="s">
        <v>302</v>
      </c>
      <c r="E26" s="12" t="s">
        <v>312</v>
      </c>
      <c r="F26" s="12" t="s">
        <v>322</v>
      </c>
      <c r="G26" s="12" t="s">
        <v>332</v>
      </c>
    </row>
    <row r="27" spans="1:9">
      <c r="A27" s="80" t="s">
        <v>95</v>
      </c>
      <c r="B27" s="12" t="s">
        <v>283</v>
      </c>
      <c r="C27" s="12" t="s">
        <v>293</v>
      </c>
      <c r="D27" s="12" t="s">
        <v>303</v>
      </c>
      <c r="E27" s="12" t="s">
        <v>313</v>
      </c>
      <c r="F27" s="12" t="s">
        <v>323</v>
      </c>
      <c r="G27" s="12" t="s">
        <v>333</v>
      </c>
    </row>
    <row r="28" spans="1:9">
      <c r="A28" s="80" t="s">
        <v>97</v>
      </c>
      <c r="B28" s="12" t="s">
        <v>284</v>
      </c>
      <c r="C28" s="12" t="s">
        <v>294</v>
      </c>
      <c r="D28" s="12" t="s">
        <v>304</v>
      </c>
      <c r="E28" s="12" t="s">
        <v>314</v>
      </c>
      <c r="F28" s="12" t="s">
        <v>324</v>
      </c>
      <c r="G28" s="12" t="s">
        <v>334</v>
      </c>
    </row>
    <row r="29" spans="1:9">
      <c r="A29" s="80" t="s">
        <v>98</v>
      </c>
      <c r="B29" s="12" t="s">
        <v>285</v>
      </c>
      <c r="C29" s="12" t="s">
        <v>295</v>
      </c>
      <c r="D29" s="12" t="s">
        <v>305</v>
      </c>
      <c r="E29" s="12" t="s">
        <v>315</v>
      </c>
      <c r="F29" s="12" t="s">
        <v>325</v>
      </c>
      <c r="G29" s="12" t="s">
        <v>335</v>
      </c>
    </row>
    <row r="30" spans="1:9">
      <c r="A30" s="80" t="s">
        <v>99</v>
      </c>
      <c r="B30" s="12" t="s">
        <v>286</v>
      </c>
      <c r="C30" s="12" t="s">
        <v>296</v>
      </c>
      <c r="D30" s="12" t="s">
        <v>306</v>
      </c>
      <c r="E30" s="12" t="s">
        <v>316</v>
      </c>
      <c r="F30" s="12" t="s">
        <v>326</v>
      </c>
      <c r="G30" s="12" t="s">
        <v>336</v>
      </c>
    </row>
    <row r="31" spans="1:9">
      <c r="A31" s="80" t="s">
        <v>100</v>
      </c>
      <c r="B31" s="12" t="s">
        <v>287</v>
      </c>
      <c r="C31" s="12" t="s">
        <v>297</v>
      </c>
      <c r="D31" s="12" t="s">
        <v>307</v>
      </c>
      <c r="E31" s="12" t="s">
        <v>317</v>
      </c>
      <c r="F31" s="12" t="s">
        <v>327</v>
      </c>
      <c r="G31" s="12" t="s">
        <v>337</v>
      </c>
    </row>
    <row r="32" spans="1:9">
      <c r="A32" s="80" t="s">
        <v>102</v>
      </c>
      <c r="B32" s="12" t="s">
        <v>288</v>
      </c>
      <c r="C32" s="12" t="s">
        <v>298</v>
      </c>
      <c r="D32" s="12" t="s">
        <v>308</v>
      </c>
      <c r="E32" s="12" t="s">
        <v>318</v>
      </c>
      <c r="F32" s="12" t="s">
        <v>328</v>
      </c>
      <c r="G32" s="12" t="s">
        <v>338</v>
      </c>
    </row>
    <row r="33" spans="1:7">
      <c r="A33" s="80" t="s">
        <v>105</v>
      </c>
      <c r="B33" s="12" t="s">
        <v>289</v>
      </c>
      <c r="C33" s="12" t="s">
        <v>299</v>
      </c>
      <c r="D33" s="12" t="s">
        <v>309</v>
      </c>
      <c r="E33" s="12" t="s">
        <v>319</v>
      </c>
      <c r="F33" s="12" t="s">
        <v>329</v>
      </c>
      <c r="G33" s="12" t="s">
        <v>339</v>
      </c>
    </row>
    <row r="34" spans="1:7">
      <c r="A34" s="80" t="s">
        <v>101</v>
      </c>
      <c r="B34" s="12" t="s">
        <v>290</v>
      </c>
      <c r="C34" s="12" t="s">
        <v>300</v>
      </c>
      <c r="D34" s="12" t="s">
        <v>310</v>
      </c>
      <c r="E34" s="12" t="s">
        <v>320</v>
      </c>
      <c r="F34" s="12" t="s">
        <v>330</v>
      </c>
      <c r="G34" s="12" t="s">
        <v>340</v>
      </c>
    </row>
    <row r="35" spans="1:7">
      <c r="A35" s="81" t="s">
        <v>343</v>
      </c>
      <c r="B35" s="84">
        <v>2.86</v>
      </c>
      <c r="C35" s="84">
        <v>0.18</v>
      </c>
      <c r="D35" s="84">
        <v>4</v>
      </c>
      <c r="E35" s="84">
        <v>28.98</v>
      </c>
      <c r="F35" s="84">
        <v>2.5499999999999998</v>
      </c>
      <c r="G35" s="84">
        <v>243.27</v>
      </c>
    </row>
    <row r="37" spans="1:7">
      <c r="A37" s="76"/>
    </row>
    <row r="38" spans="1:7">
      <c r="B38" s="75" t="s">
        <v>272</v>
      </c>
      <c r="C38" s="75" t="s">
        <v>249</v>
      </c>
      <c r="D38" s="75" t="s">
        <v>357</v>
      </c>
    </row>
    <row r="39" spans="1:7">
      <c r="A39" s="75" t="s">
        <v>354</v>
      </c>
      <c r="B39" s="75"/>
      <c r="C39" s="75"/>
      <c r="D39" s="75"/>
    </row>
    <row r="40" spans="1:7">
      <c r="A40" s="80" t="s">
        <v>278</v>
      </c>
      <c r="B40" s="12">
        <v>1.1499999999999999</v>
      </c>
      <c r="C40" s="12">
        <v>7.1</v>
      </c>
      <c r="D40" s="82">
        <v>4.7074999999999996</v>
      </c>
    </row>
    <row r="41" spans="1:7">
      <c r="A41" s="80" t="s">
        <v>96</v>
      </c>
      <c r="B41" s="12">
        <v>1.21</v>
      </c>
      <c r="C41" s="12">
        <v>8.4</v>
      </c>
      <c r="D41" s="82">
        <v>4.6135000000000002</v>
      </c>
    </row>
    <row r="42" spans="1:7">
      <c r="A42" s="80" t="s">
        <v>95</v>
      </c>
      <c r="B42" s="12">
        <v>1.58</v>
      </c>
      <c r="C42" s="12">
        <v>11.5</v>
      </c>
      <c r="D42" s="82">
        <v>6.9595000000000002</v>
      </c>
    </row>
    <row r="43" spans="1:7">
      <c r="A43" s="80" t="s">
        <v>97</v>
      </c>
      <c r="B43" s="12">
        <v>1.29</v>
      </c>
      <c r="C43" s="12">
        <v>8.1999999999999993</v>
      </c>
      <c r="D43" s="82">
        <v>8.0190000000000001</v>
      </c>
    </row>
    <row r="44" spans="1:7">
      <c r="A44" s="80" t="s">
        <v>98</v>
      </c>
      <c r="B44" s="12">
        <v>1.45</v>
      </c>
      <c r="C44" s="12">
        <v>10.1</v>
      </c>
      <c r="D44" s="82">
        <v>8.2014999999999993</v>
      </c>
    </row>
    <row r="45" spans="1:7">
      <c r="A45" s="85" t="s">
        <v>355</v>
      </c>
      <c r="B45" s="12"/>
      <c r="C45" s="12"/>
      <c r="D45" s="82"/>
    </row>
    <row r="46" spans="1:7">
      <c r="A46" s="80" t="s">
        <v>99</v>
      </c>
      <c r="B46" s="12">
        <v>1.26</v>
      </c>
      <c r="C46" s="12">
        <v>6.1</v>
      </c>
      <c r="D46" s="82">
        <v>4.9960000000000004</v>
      </c>
    </row>
    <row r="47" spans="1:7">
      <c r="A47" s="80" t="s">
        <v>100</v>
      </c>
      <c r="B47" s="12">
        <v>1.44</v>
      </c>
      <c r="C47" s="12">
        <v>7</v>
      </c>
      <c r="D47" s="82">
        <v>5.7605000000000004</v>
      </c>
    </row>
    <row r="48" spans="1:7">
      <c r="A48" s="80" t="s">
        <v>102</v>
      </c>
      <c r="B48" s="12">
        <v>1.37</v>
      </c>
      <c r="C48" s="12">
        <v>14.3</v>
      </c>
      <c r="D48" s="82">
        <v>4.5315000000000003</v>
      </c>
    </row>
    <row r="49" spans="1:4">
      <c r="A49" s="80" t="s">
        <v>105</v>
      </c>
      <c r="B49" s="12">
        <v>1.53</v>
      </c>
      <c r="C49" s="12">
        <v>4.5999999999999996</v>
      </c>
      <c r="D49" s="82">
        <v>8.6620000000000008</v>
      </c>
    </row>
    <row r="50" spans="1:4">
      <c r="A50" s="85" t="s">
        <v>356</v>
      </c>
      <c r="B50" s="12"/>
      <c r="C50" s="12"/>
      <c r="D50" s="82"/>
    </row>
    <row r="51" spans="1:4">
      <c r="A51" s="80" t="s">
        <v>101</v>
      </c>
      <c r="B51" s="12">
        <v>1.36</v>
      </c>
      <c r="C51" s="12">
        <v>8.4499999999999993</v>
      </c>
      <c r="D51" s="82">
        <v>10.005000000000001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09"/>
  <sheetViews>
    <sheetView topLeftCell="A18" zoomScale="120" zoomScaleNormal="120" workbookViewId="0">
      <selection activeCell="J23" sqref="J23"/>
    </sheetView>
  </sheetViews>
  <sheetFormatPr defaultRowHeight="15"/>
  <cols>
    <col min="1" max="1" width="9.85546875" bestFit="1" customWidth="1"/>
    <col min="2" max="3" width="16.42578125" bestFit="1" customWidth="1"/>
    <col min="4" max="4" width="21.5703125" bestFit="1" customWidth="1"/>
    <col min="5" max="5" width="13.7109375" bestFit="1" customWidth="1"/>
    <col min="6" max="6" width="16.140625" bestFit="1" customWidth="1"/>
    <col min="7" max="7" width="16.28515625" bestFit="1" customWidth="1"/>
    <col min="8" max="8" width="13.7109375" bestFit="1" customWidth="1"/>
    <col min="9" max="9" width="16.140625" bestFit="1" customWidth="1"/>
    <col min="10" max="10" width="10.42578125" bestFit="1" customWidth="1"/>
  </cols>
  <sheetData>
    <row r="1" spans="1:10">
      <c r="A1" s="192" t="s">
        <v>342</v>
      </c>
      <c r="B1" s="192" t="s">
        <v>344</v>
      </c>
      <c r="C1" s="62"/>
      <c r="D1" s="191" t="s">
        <v>358</v>
      </c>
      <c r="E1" s="191"/>
      <c r="F1" s="191"/>
      <c r="G1" s="191" t="s">
        <v>359</v>
      </c>
      <c r="H1" s="191"/>
      <c r="I1" s="191"/>
    </row>
    <row r="2" spans="1:10">
      <c r="A2" s="192"/>
      <c r="B2" s="192"/>
      <c r="C2" s="57" t="s">
        <v>272</v>
      </c>
      <c r="D2" s="57" t="s">
        <v>345</v>
      </c>
      <c r="E2" s="57" t="s">
        <v>346</v>
      </c>
      <c r="F2" s="57" t="s">
        <v>249</v>
      </c>
      <c r="G2" s="57" t="s">
        <v>345</v>
      </c>
      <c r="H2" s="57" t="s">
        <v>346</v>
      </c>
      <c r="I2" s="57" t="s">
        <v>249</v>
      </c>
      <c r="J2" s="86"/>
    </row>
    <row r="3" spans="1:10">
      <c r="A3" s="88" t="s">
        <v>112</v>
      </c>
      <c r="B3" s="90">
        <v>1.55</v>
      </c>
      <c r="C3" s="90">
        <v>1.9625024999999998</v>
      </c>
      <c r="D3" s="90">
        <v>16.3</v>
      </c>
      <c r="E3" s="90">
        <v>252.8</v>
      </c>
      <c r="F3" s="90">
        <v>15.509202453987729</v>
      </c>
      <c r="G3" s="90">
        <v>98.1</v>
      </c>
      <c r="H3" s="90">
        <v>213.15</v>
      </c>
      <c r="I3" s="90">
        <v>2.1727828746177371</v>
      </c>
    </row>
    <row r="4" spans="1:10">
      <c r="A4" s="89" t="s">
        <v>113</v>
      </c>
      <c r="B4" s="90">
        <v>1.6366666666666667</v>
      </c>
      <c r="C4" s="90">
        <v>1.1445249999999998</v>
      </c>
      <c r="D4" s="90">
        <v>32.76</v>
      </c>
      <c r="E4" s="90">
        <v>161.5</v>
      </c>
      <c r="F4" s="90">
        <v>4.92979242979243</v>
      </c>
      <c r="G4" s="90">
        <v>56.98</v>
      </c>
      <c r="H4" s="90">
        <v>213.6</v>
      </c>
      <c r="I4" s="90">
        <v>3.748683748683749</v>
      </c>
    </row>
    <row r="5" spans="1:10">
      <c r="A5" s="88" t="s">
        <v>114</v>
      </c>
      <c r="B5" s="90">
        <v>1.6166666666666665</v>
      </c>
      <c r="C5" s="90">
        <v>2.3260974999999999</v>
      </c>
      <c r="D5" s="90">
        <v>24.71</v>
      </c>
      <c r="E5" s="90">
        <v>212.65</v>
      </c>
      <c r="F5" s="90">
        <v>8.6058276001618772</v>
      </c>
      <c r="G5" s="90">
        <v>40.14</v>
      </c>
      <c r="H5" s="90">
        <v>293.05</v>
      </c>
      <c r="I5" s="90">
        <v>7.3006975585450924</v>
      </c>
    </row>
    <row r="6" spans="1:10">
      <c r="A6" s="89" t="s">
        <v>115</v>
      </c>
      <c r="B6" s="90">
        <v>1.6666666666666667</v>
      </c>
      <c r="C6" s="90">
        <v>2.3238675</v>
      </c>
      <c r="D6" s="90">
        <v>18.989999999999998</v>
      </c>
      <c r="E6" s="90">
        <v>214.1</v>
      </c>
      <c r="F6" s="90">
        <v>11.274354923644024</v>
      </c>
      <c r="G6" s="90">
        <v>95.87</v>
      </c>
      <c r="H6" s="90">
        <v>258.45</v>
      </c>
      <c r="I6" s="90">
        <v>2.6958381141128611</v>
      </c>
    </row>
    <row r="7" spans="1:10">
      <c r="A7" s="88" t="s">
        <v>116</v>
      </c>
      <c r="B7" s="90">
        <v>1.6333333333333331</v>
      </c>
      <c r="C7" s="90">
        <v>1.8197299999999998</v>
      </c>
      <c r="D7" s="90">
        <v>23.21</v>
      </c>
      <c r="E7" s="90">
        <v>198.6</v>
      </c>
      <c r="F7" s="90">
        <v>8.5566566135286504</v>
      </c>
      <c r="G7" s="90">
        <v>61.07</v>
      </c>
      <c r="H7" s="90">
        <v>283.2</v>
      </c>
      <c r="I7" s="90">
        <v>4.637301457344031</v>
      </c>
    </row>
    <row r="8" spans="1:10">
      <c r="A8" s="88" t="s">
        <v>107</v>
      </c>
      <c r="B8" s="90">
        <v>1.2666666666666666</v>
      </c>
      <c r="C8" s="90">
        <v>1.3565925000000001</v>
      </c>
      <c r="D8" s="90">
        <v>22.93</v>
      </c>
      <c r="E8" s="90">
        <v>221.45</v>
      </c>
      <c r="F8" s="90">
        <v>9.6576537287396427</v>
      </c>
      <c r="G8" s="90">
        <v>68.38</v>
      </c>
      <c r="H8" s="90">
        <v>233.70000000000002</v>
      </c>
      <c r="I8" s="90">
        <v>3.4176659842059087</v>
      </c>
    </row>
    <row r="9" spans="1:10">
      <c r="A9" s="88" t="s">
        <v>108</v>
      </c>
      <c r="B9" s="90">
        <v>1.6733333333333331</v>
      </c>
      <c r="C9" s="90">
        <v>1.4452199999999997</v>
      </c>
      <c r="D9" s="90">
        <v>13.77</v>
      </c>
      <c r="E9" s="90">
        <v>274.10000000000002</v>
      </c>
      <c r="F9" s="90">
        <v>19.905591866376181</v>
      </c>
      <c r="G9" s="90">
        <v>21.84</v>
      </c>
      <c r="H9" s="90">
        <v>403.9</v>
      </c>
      <c r="I9" s="90">
        <v>18.493589743589741</v>
      </c>
    </row>
    <row r="10" spans="1:10">
      <c r="A10" s="88" t="s">
        <v>117</v>
      </c>
      <c r="B10" s="90">
        <v>1.46</v>
      </c>
      <c r="C10" s="90">
        <v>1.5035525000000001</v>
      </c>
      <c r="D10" s="90">
        <v>20.68</v>
      </c>
      <c r="E10" s="90">
        <v>207.95000000000002</v>
      </c>
      <c r="F10" s="90">
        <v>10.055609284332689</v>
      </c>
      <c r="G10" s="90">
        <v>46.58</v>
      </c>
      <c r="H10" s="90">
        <v>309.89999999999998</v>
      </c>
      <c r="I10" s="90">
        <v>6.6530699871189345</v>
      </c>
    </row>
    <row r="11" spans="1:10">
      <c r="A11" s="88" t="s">
        <v>109</v>
      </c>
      <c r="B11" s="90">
        <v>1.3733333333333333</v>
      </c>
      <c r="C11" s="90">
        <v>2.1235675000000001</v>
      </c>
      <c r="D11" s="90">
        <v>11.83</v>
      </c>
      <c r="E11" s="90">
        <v>197.25</v>
      </c>
      <c r="F11" s="90">
        <v>16.673710904480135</v>
      </c>
      <c r="G11" s="90">
        <v>46</v>
      </c>
      <c r="H11" s="90">
        <v>362.75</v>
      </c>
      <c r="I11" s="90">
        <v>7.8858695652173916</v>
      </c>
    </row>
    <row r="12" spans="1:10">
      <c r="A12" s="88" t="s">
        <v>118</v>
      </c>
      <c r="B12" s="90">
        <v>1.6500000000000001</v>
      </c>
      <c r="C12" s="90">
        <v>1.49438</v>
      </c>
      <c r="D12" s="90">
        <v>36.770000000000003</v>
      </c>
      <c r="E12" s="90">
        <v>168.35000000000002</v>
      </c>
      <c r="F12" s="90">
        <v>4.5784607016589609</v>
      </c>
      <c r="G12" s="90">
        <v>98.08</v>
      </c>
      <c r="H12" s="90">
        <v>159.80000000000001</v>
      </c>
      <c r="I12" s="90">
        <v>1.6292822185970637</v>
      </c>
    </row>
    <row r="13" spans="1:10">
      <c r="A13" s="89" t="s">
        <v>119</v>
      </c>
      <c r="B13" s="90">
        <v>1.7666666666666666</v>
      </c>
      <c r="C13" s="90">
        <v>1.5906624999999999</v>
      </c>
      <c r="D13" s="90">
        <v>15.98</v>
      </c>
      <c r="E13" s="90">
        <v>153.25</v>
      </c>
      <c r="F13" s="90">
        <v>9.5901126408010011</v>
      </c>
      <c r="G13" s="90">
        <v>57.64</v>
      </c>
      <c r="H13" s="90">
        <v>325.64999999999998</v>
      </c>
      <c r="I13" s="90">
        <v>5.6497224149895899</v>
      </c>
    </row>
    <row r="14" spans="1:10">
      <c r="A14" s="89" t="s">
        <v>360</v>
      </c>
      <c r="B14" s="90">
        <v>1.74</v>
      </c>
      <c r="C14" s="90">
        <v>1.2359499999999997</v>
      </c>
      <c r="D14" s="90">
        <v>22.58</v>
      </c>
      <c r="E14" s="90">
        <v>212.85</v>
      </c>
      <c r="F14" s="90">
        <v>9.4264836138175383</v>
      </c>
      <c r="G14" s="90">
        <v>37.11</v>
      </c>
      <c r="H14" s="90">
        <v>322.29999999999995</v>
      </c>
      <c r="I14" s="90">
        <v>8.6849905685798969</v>
      </c>
    </row>
    <row r="15" spans="1:10">
      <c r="A15" s="89" t="s">
        <v>120</v>
      </c>
      <c r="B15" s="90">
        <v>2.23</v>
      </c>
      <c r="C15" s="90">
        <v>1.69014</v>
      </c>
      <c r="D15" s="90">
        <v>18.100000000000001</v>
      </c>
      <c r="E15" s="90">
        <v>241.05</v>
      </c>
      <c r="F15" s="90">
        <v>13.317679558011049</v>
      </c>
      <c r="G15" s="90">
        <v>51.25</v>
      </c>
      <c r="H15" s="90">
        <v>300.14999999999998</v>
      </c>
      <c r="I15" s="90">
        <v>5.8565853658536584</v>
      </c>
    </row>
    <row r="16" spans="1:10">
      <c r="A16" s="89" t="s">
        <v>121</v>
      </c>
      <c r="B16" s="90">
        <v>1.2300000000000002</v>
      </c>
      <c r="C16" s="90">
        <v>1.9237649999999999</v>
      </c>
      <c r="D16" s="90">
        <v>15.16</v>
      </c>
      <c r="E16" s="90">
        <v>193.05</v>
      </c>
      <c r="F16" s="90">
        <v>12.734168865435358</v>
      </c>
      <c r="G16" s="90">
        <v>49.32</v>
      </c>
      <c r="H16" s="90">
        <v>201.1</v>
      </c>
      <c r="I16" s="90">
        <v>4.0774533657745335</v>
      </c>
    </row>
    <row r="17" spans="1:9">
      <c r="A17" s="89" t="s">
        <v>122</v>
      </c>
      <c r="B17" s="90">
        <v>1.5</v>
      </c>
      <c r="C17" s="90">
        <v>1.4669749999999997</v>
      </c>
      <c r="D17" s="90">
        <v>34.520000000000003</v>
      </c>
      <c r="E17" s="90">
        <v>173.15</v>
      </c>
      <c r="F17" s="90">
        <v>5.0159327925840094</v>
      </c>
      <c r="G17" s="90">
        <v>40.22</v>
      </c>
      <c r="H17" s="90">
        <v>221.4</v>
      </c>
      <c r="I17" s="90">
        <v>5.504724017901542</v>
      </c>
    </row>
    <row r="18" spans="1:9">
      <c r="A18" s="95" t="s">
        <v>280</v>
      </c>
      <c r="B18" s="96">
        <f>AVERAGE(B3:B17)</f>
        <v>1.5995555555555554</v>
      </c>
      <c r="C18" s="96">
        <f t="shared" ref="C18:I18" si="0">AVERAGE(C3:C17)</f>
        <v>1.6938351666666662</v>
      </c>
      <c r="D18" s="96">
        <f t="shared" si="0"/>
        <v>21.886000000000006</v>
      </c>
      <c r="E18" s="96">
        <f t="shared" si="0"/>
        <v>205.47333333333339</v>
      </c>
      <c r="F18" s="96">
        <f t="shared" si="0"/>
        <v>10.655415865156751</v>
      </c>
      <c r="G18" s="96">
        <f t="shared" si="0"/>
        <v>57.905333333333338</v>
      </c>
      <c r="H18" s="96">
        <f t="shared" si="0"/>
        <v>273.47333333333336</v>
      </c>
      <c r="I18" s="96">
        <f t="shared" si="0"/>
        <v>5.8938837990087807</v>
      </c>
    </row>
    <row r="19" spans="1:9">
      <c r="F19" t="s">
        <v>342</v>
      </c>
      <c r="G19" t="s">
        <v>485</v>
      </c>
      <c r="H19" t="s">
        <v>486</v>
      </c>
      <c r="I19" t="s">
        <v>487</v>
      </c>
    </row>
    <row r="20" spans="1:9">
      <c r="A20" s="50" t="s">
        <v>366</v>
      </c>
      <c r="B20" s="52">
        <v>778</v>
      </c>
      <c r="C20" s="52">
        <v>826</v>
      </c>
      <c r="D20" s="52">
        <v>738</v>
      </c>
      <c r="E20" s="77">
        <f t="shared" ref="E20:E34" si="1">AVERAGE(B20:D20)</f>
        <v>780.66666666666663</v>
      </c>
      <c r="F20" t="s">
        <v>107</v>
      </c>
      <c r="G20">
        <v>373.33</v>
      </c>
      <c r="H20">
        <v>31.451759525075044</v>
      </c>
      <c r="I20" t="s">
        <v>474</v>
      </c>
    </row>
    <row r="21" spans="1:9">
      <c r="A21" s="32" t="s">
        <v>368</v>
      </c>
      <c r="B21" s="52">
        <v>1424</v>
      </c>
      <c r="C21" s="52">
        <v>1008</v>
      </c>
      <c r="D21" s="52">
        <v>1102</v>
      </c>
      <c r="E21" s="77">
        <f t="shared" si="1"/>
        <v>1178</v>
      </c>
      <c r="F21" t="s">
        <v>374</v>
      </c>
      <c r="G21">
        <v>531.33000000000004</v>
      </c>
      <c r="H21">
        <v>155.73280951146364</v>
      </c>
      <c r="I21" t="s">
        <v>475</v>
      </c>
    </row>
    <row r="22" spans="1:9">
      <c r="A22" s="50" t="s">
        <v>370</v>
      </c>
      <c r="B22" s="52">
        <v>902</v>
      </c>
      <c r="C22" s="52">
        <v>714</v>
      </c>
      <c r="D22" s="52">
        <v>936</v>
      </c>
      <c r="E22" s="77">
        <f t="shared" si="1"/>
        <v>850.66666666666663</v>
      </c>
      <c r="F22" t="s">
        <v>384</v>
      </c>
      <c r="G22">
        <v>501.33</v>
      </c>
      <c r="H22">
        <v>85.353711765805727</v>
      </c>
      <c r="I22" t="s">
        <v>476</v>
      </c>
    </row>
    <row r="23" spans="1:9">
      <c r="A23" s="32" t="s">
        <v>372</v>
      </c>
      <c r="B23" s="52">
        <v>1202</v>
      </c>
      <c r="C23" s="52">
        <v>932</v>
      </c>
      <c r="D23" s="52">
        <v>972</v>
      </c>
      <c r="E23" s="77">
        <f t="shared" si="1"/>
        <v>1035.3333333333333</v>
      </c>
      <c r="F23" t="s">
        <v>426</v>
      </c>
      <c r="G23">
        <v>1318.67</v>
      </c>
      <c r="H23">
        <v>104.01691749844318</v>
      </c>
      <c r="I23" t="s">
        <v>477</v>
      </c>
    </row>
    <row r="24" spans="1:9">
      <c r="A24" s="50" t="s">
        <v>374</v>
      </c>
      <c r="B24" s="52">
        <v>630</v>
      </c>
      <c r="C24" s="52">
        <v>406</v>
      </c>
      <c r="D24" s="52">
        <v>558</v>
      </c>
      <c r="E24" s="77">
        <f t="shared" si="1"/>
        <v>531.33333333333337</v>
      </c>
      <c r="F24" t="s">
        <v>427</v>
      </c>
      <c r="G24">
        <v>1074.67</v>
      </c>
      <c r="H24">
        <v>81.630881737014121</v>
      </c>
      <c r="I24" t="s">
        <v>478</v>
      </c>
    </row>
    <row r="25" spans="1:9">
      <c r="A25" s="50" t="s">
        <v>107</v>
      </c>
      <c r="B25" s="52">
        <v>352</v>
      </c>
      <c r="C25" s="52">
        <v>400</v>
      </c>
      <c r="D25" s="52">
        <v>368</v>
      </c>
      <c r="E25" s="77">
        <f t="shared" si="1"/>
        <v>373.33333333333331</v>
      </c>
      <c r="F25" t="s">
        <v>428</v>
      </c>
      <c r="G25">
        <v>1222</v>
      </c>
      <c r="H25">
        <v>17.446297180187813</v>
      </c>
      <c r="I25" t="s">
        <v>479</v>
      </c>
    </row>
    <row r="26" spans="1:9">
      <c r="A26" s="50" t="s">
        <v>108</v>
      </c>
      <c r="B26" s="52">
        <v>348</v>
      </c>
      <c r="C26" s="52">
        <v>554</v>
      </c>
      <c r="D26" s="52">
        <v>514</v>
      </c>
      <c r="E26" s="77">
        <f t="shared" si="1"/>
        <v>472</v>
      </c>
      <c r="F26" t="s">
        <v>484</v>
      </c>
      <c r="G26">
        <v>1510.67</v>
      </c>
      <c r="H26">
        <v>77.974305093325057</v>
      </c>
      <c r="I26" t="s">
        <v>480</v>
      </c>
    </row>
    <row r="27" spans="1:9">
      <c r="A27" s="50" t="s">
        <v>378</v>
      </c>
      <c r="B27" s="52">
        <v>980</v>
      </c>
      <c r="C27" s="52">
        <v>856</v>
      </c>
      <c r="D27" s="52">
        <v>868</v>
      </c>
      <c r="E27" s="77">
        <f t="shared" si="1"/>
        <v>901.33333333333337</v>
      </c>
      <c r="F27" t="s">
        <v>360</v>
      </c>
      <c r="G27">
        <v>1294.67</v>
      </c>
      <c r="H27">
        <v>48.819581405817097</v>
      </c>
      <c r="I27" t="s">
        <v>477</v>
      </c>
    </row>
    <row r="28" spans="1:9">
      <c r="A28" s="50" t="s">
        <v>381</v>
      </c>
      <c r="B28" s="52">
        <v>372</v>
      </c>
      <c r="C28" s="52">
        <v>390</v>
      </c>
      <c r="D28" s="52">
        <v>314</v>
      </c>
      <c r="E28" s="77">
        <f t="shared" si="1"/>
        <v>358.66666666666669</v>
      </c>
      <c r="F28" t="s">
        <v>423</v>
      </c>
      <c r="G28">
        <v>1035.33</v>
      </c>
      <c r="H28">
        <v>28.350232917805052</v>
      </c>
      <c r="I28" t="s">
        <v>478</v>
      </c>
    </row>
    <row r="29" spans="1:9">
      <c r="A29" s="50" t="s">
        <v>384</v>
      </c>
      <c r="B29" s="52">
        <v>560</v>
      </c>
      <c r="C29" s="52">
        <v>446</v>
      </c>
      <c r="D29" s="52">
        <v>498</v>
      </c>
      <c r="E29" s="77">
        <f t="shared" si="1"/>
        <v>501.33333333333331</v>
      </c>
      <c r="F29" t="s">
        <v>422</v>
      </c>
      <c r="G29">
        <v>850.67</v>
      </c>
      <c r="H29">
        <v>40.740466018424641</v>
      </c>
      <c r="I29" t="s">
        <v>481</v>
      </c>
    </row>
    <row r="30" spans="1:9">
      <c r="A30" s="32" t="s">
        <v>386</v>
      </c>
      <c r="B30" s="52">
        <v>1698</v>
      </c>
      <c r="C30" s="52">
        <v>1420</v>
      </c>
      <c r="D30" s="52">
        <v>1414</v>
      </c>
      <c r="E30" s="77">
        <f t="shared" si="1"/>
        <v>1510.6666666666667</v>
      </c>
      <c r="F30" t="s">
        <v>420</v>
      </c>
      <c r="G30">
        <v>780.67</v>
      </c>
      <c r="H30">
        <v>115.82833727585303</v>
      </c>
      <c r="I30" t="s">
        <v>482</v>
      </c>
    </row>
    <row r="31" spans="1:9">
      <c r="A31" s="32" t="s">
        <v>388</v>
      </c>
      <c r="B31" s="52">
        <v>1092</v>
      </c>
      <c r="C31" s="52">
        <v>1248</v>
      </c>
      <c r="D31" s="52">
        <v>1544</v>
      </c>
      <c r="E31" s="94">
        <f t="shared" si="1"/>
        <v>1294.6666666666667</v>
      </c>
      <c r="F31" t="s">
        <v>424</v>
      </c>
      <c r="G31">
        <v>901.33</v>
      </c>
      <c r="H31">
        <v>163.88479126830387</v>
      </c>
      <c r="I31" t="s">
        <v>483</v>
      </c>
    </row>
    <row r="32" spans="1:9">
      <c r="A32" s="32" t="s">
        <v>390</v>
      </c>
      <c r="B32" s="52">
        <v>1236</v>
      </c>
      <c r="C32" s="52">
        <v>1264</v>
      </c>
      <c r="D32" s="52">
        <v>1456</v>
      </c>
      <c r="E32" s="94">
        <f t="shared" si="1"/>
        <v>1318.6666666666667</v>
      </c>
      <c r="F32" t="s">
        <v>421</v>
      </c>
      <c r="G32">
        <v>1178</v>
      </c>
      <c r="H32">
        <v>85.484948767633981</v>
      </c>
      <c r="I32" t="s">
        <v>479</v>
      </c>
    </row>
    <row r="33" spans="1:12">
      <c r="A33" s="32" t="s">
        <v>391</v>
      </c>
      <c r="B33" s="52">
        <v>1098</v>
      </c>
      <c r="C33" s="52">
        <v>966</v>
      </c>
      <c r="D33" s="52">
        <v>1160</v>
      </c>
      <c r="E33" s="77">
        <f t="shared" si="1"/>
        <v>1074.6666666666667</v>
      </c>
      <c r="F33" t="s">
        <v>108</v>
      </c>
      <c r="G33">
        <v>472</v>
      </c>
      <c r="H33">
        <v>70.728045869050845</v>
      </c>
      <c r="I33" t="s">
        <v>476</v>
      </c>
    </row>
    <row r="34" spans="1:12">
      <c r="A34" s="32" t="s">
        <v>393</v>
      </c>
      <c r="B34" s="52">
        <v>1282</v>
      </c>
      <c r="C34" s="52">
        <v>1332</v>
      </c>
      <c r="D34" s="52">
        <v>1052</v>
      </c>
      <c r="E34" s="77">
        <f t="shared" si="1"/>
        <v>1222</v>
      </c>
      <c r="F34" t="s">
        <v>425</v>
      </c>
      <c r="G34">
        <v>358.67</v>
      </c>
      <c r="H34">
        <v>106.59757431399152</v>
      </c>
      <c r="I34" t="s">
        <v>474</v>
      </c>
    </row>
    <row r="36" spans="1:12" ht="15.75">
      <c r="A36" s="97"/>
      <c r="B36" s="97"/>
      <c r="C36" s="97"/>
      <c r="D36" s="98" t="s">
        <v>279</v>
      </c>
      <c r="E36" s="99"/>
      <c r="F36" s="99"/>
      <c r="G36" s="99"/>
      <c r="H36" s="99"/>
      <c r="I36" s="99"/>
      <c r="J36" s="99"/>
      <c r="K36" s="97"/>
      <c r="L36" s="97"/>
    </row>
    <row r="37" spans="1:12">
      <c r="A37" s="97"/>
      <c r="B37" s="100" t="s">
        <v>394</v>
      </c>
      <c r="C37" s="101">
        <f>COUNT(B48:B108)</f>
        <v>15</v>
      </c>
      <c r="D37" s="102" t="s">
        <v>395</v>
      </c>
      <c r="E37" s="102" t="s">
        <v>396</v>
      </c>
      <c r="F37" s="102" t="s">
        <v>397</v>
      </c>
      <c r="G37" s="102" t="s">
        <v>398</v>
      </c>
      <c r="H37" s="102" t="s">
        <v>399</v>
      </c>
      <c r="I37" s="102" t="s">
        <v>400</v>
      </c>
      <c r="J37" s="102" t="s">
        <v>401</v>
      </c>
      <c r="K37" s="102" t="s">
        <v>402</v>
      </c>
      <c r="L37" s="103" t="s">
        <v>403</v>
      </c>
    </row>
    <row r="38" spans="1:12">
      <c r="A38" s="97"/>
      <c r="B38" s="100" t="s">
        <v>404</v>
      </c>
      <c r="C38" s="101">
        <f>COUNT(B48:H48)</f>
        <v>3</v>
      </c>
      <c r="D38" s="104" t="s">
        <v>405</v>
      </c>
      <c r="E38" s="105">
        <f>C38-1</f>
        <v>2</v>
      </c>
      <c r="F38" s="105">
        <f>(SUMSQ(B109:H109)/C37)-C41</f>
        <v>48184.177777782083</v>
      </c>
      <c r="G38" s="105">
        <f>F38/E38</f>
        <v>24092.088888891041</v>
      </c>
      <c r="H38" s="105">
        <f>G38/G40</f>
        <v>1.5221189381563371</v>
      </c>
      <c r="I38" s="106">
        <f>FINV(0.05,E38,E$5)</f>
        <v>3.0384660302251163</v>
      </c>
      <c r="J38" s="107" t="str">
        <f>IF(H38&gt;K38,"**",IF(H38&gt;I38,"*","NS"))</f>
        <v>NS</v>
      </c>
      <c r="K38" s="106">
        <f>FINV(0.01,E38,E$5)</f>
        <v>4.7066705570485468</v>
      </c>
      <c r="L38" s="97">
        <f>FDIST(H38,E38,E$5)</f>
        <v>0.22062432195889181</v>
      </c>
    </row>
    <row r="39" spans="1:12">
      <c r="A39" s="97"/>
      <c r="B39" s="100" t="s">
        <v>406</v>
      </c>
      <c r="C39" s="108">
        <f>I109</f>
        <v>40210</v>
      </c>
      <c r="D39" s="104" t="s">
        <v>342</v>
      </c>
      <c r="E39" s="105">
        <f>C37-1</f>
        <v>14</v>
      </c>
      <c r="F39" s="105">
        <f>(SUMSQ(I48:I108)/C38)-C41</f>
        <v>5994767.1111111119</v>
      </c>
      <c r="G39" s="105">
        <f>F39/E39</f>
        <v>428197.65079365083</v>
      </c>
      <c r="H39" s="105">
        <f>G39/G40</f>
        <v>27.053185655794362</v>
      </c>
      <c r="I39" s="106">
        <f>FINV(0.05,E39,E$5)</f>
        <v>1.7386736068999666</v>
      </c>
      <c r="J39" s="107" t="str">
        <f>IF(H39&gt;K39,"**",IF(H39&gt;I39,"*","NS"))</f>
        <v>**</v>
      </c>
      <c r="K39" s="106">
        <f>FINV(0.01,E39,E$5)</f>
        <v>2.1668574303259058</v>
      </c>
      <c r="L39" s="109">
        <f>FDIST(H39,E39,E$5)</f>
        <v>1.1415986259915764E-39</v>
      </c>
    </row>
    <row r="40" spans="1:12">
      <c r="A40" s="97"/>
      <c r="B40" s="100" t="s">
        <v>280</v>
      </c>
      <c r="C40" s="108">
        <f>I109/(C37*C38)</f>
        <v>893.55555555555554</v>
      </c>
      <c r="D40" s="104" t="s">
        <v>407</v>
      </c>
      <c r="E40" s="105">
        <f>E39*E38</f>
        <v>28</v>
      </c>
      <c r="F40" s="105">
        <f>F41-F39-F38</f>
        <v>443183.82222221792</v>
      </c>
      <c r="G40" s="106">
        <f>F40/E40</f>
        <v>15827.993650793496</v>
      </c>
      <c r="H40" s="105"/>
      <c r="I40" s="105"/>
      <c r="J40" s="107"/>
      <c r="K40" s="97"/>
      <c r="L40" s="97"/>
    </row>
    <row r="41" spans="1:12">
      <c r="A41" s="97"/>
      <c r="B41" s="100" t="s">
        <v>408</v>
      </c>
      <c r="C41" s="108">
        <f>POWER(I109,2)/(C37*C38)</f>
        <v>35929868.888888888</v>
      </c>
      <c r="D41" s="102" t="s">
        <v>409</v>
      </c>
      <c r="E41" s="110">
        <f>C37*C38-1</f>
        <v>44</v>
      </c>
      <c r="F41" s="110">
        <f>SUMSQ(B48:H108)-C41</f>
        <v>6486135.1111111119</v>
      </c>
      <c r="G41" s="110"/>
      <c r="H41" s="110"/>
      <c r="I41" s="110"/>
      <c r="J41" s="107"/>
      <c r="K41" s="97"/>
      <c r="L41" s="97"/>
    </row>
    <row r="42" spans="1:12">
      <c r="A42" s="111"/>
      <c r="B42" s="111"/>
      <c r="C42" s="112"/>
      <c r="D42" s="113" t="s">
        <v>410</v>
      </c>
      <c r="E42" s="114"/>
      <c r="F42" s="114">
        <f>SQRT(G40)</f>
        <v>125.80935438509132</v>
      </c>
      <c r="G42" s="115"/>
      <c r="H42" s="115"/>
      <c r="I42" s="115"/>
      <c r="J42" s="111"/>
      <c r="K42" s="111"/>
      <c r="L42" s="111"/>
    </row>
    <row r="43" spans="1:12">
      <c r="A43" s="97"/>
      <c r="B43" s="97"/>
      <c r="C43" s="97"/>
      <c r="D43" s="181" t="s">
        <v>411</v>
      </c>
      <c r="E43" s="181"/>
      <c r="F43" s="116">
        <f>SQRT((G40)/C38)</f>
        <v>72.636064620805499</v>
      </c>
      <c r="G43" s="97"/>
      <c r="H43" s="97"/>
      <c r="I43" s="117"/>
      <c r="J43" s="97"/>
      <c r="K43" s="97"/>
      <c r="L43" s="97"/>
    </row>
    <row r="44" spans="1:12">
      <c r="A44" s="97"/>
      <c r="B44" s="97"/>
      <c r="C44" s="97"/>
      <c r="D44" s="181" t="s">
        <v>412</v>
      </c>
      <c r="E44" s="181"/>
      <c r="F44" s="116">
        <f>TINV(0.05,E40)*F43*SQRT(2)</f>
        <v>210.41833498004337</v>
      </c>
      <c r="G44" s="97" t="s">
        <v>413</v>
      </c>
      <c r="H44" s="116">
        <f>TINV(0.01,E40)*F43*SQRT(2)</f>
        <v>283.85035283409383</v>
      </c>
      <c r="I44" s="97"/>
      <c r="J44" s="97"/>
      <c r="K44" s="97"/>
      <c r="L44" s="97"/>
    </row>
    <row r="45" spans="1:12">
      <c r="A45" s="97"/>
      <c r="B45" s="97"/>
      <c r="C45" s="97"/>
      <c r="D45" s="181" t="s">
        <v>414</v>
      </c>
      <c r="E45" s="181"/>
      <c r="F45" s="116">
        <f>SQRT(G40)/C40*100</f>
        <v>14.079634288309151</v>
      </c>
      <c r="G45" s="97"/>
      <c r="H45" s="97"/>
      <c r="I45" s="97"/>
      <c r="J45" s="97"/>
      <c r="K45" s="97"/>
      <c r="L45" s="97"/>
    </row>
    <row r="46" spans="1:12">
      <c r="A46" s="97"/>
      <c r="B46" s="97"/>
      <c r="C46" s="97"/>
      <c r="D46" s="107"/>
      <c r="E46" s="118"/>
      <c r="F46" s="97"/>
      <c r="G46" s="97"/>
      <c r="H46" s="97"/>
      <c r="I46" s="97"/>
      <c r="J46" s="97"/>
      <c r="K46" s="97"/>
      <c r="L46" s="97"/>
    </row>
    <row r="47" spans="1:12">
      <c r="A47" s="119" t="s">
        <v>342</v>
      </c>
      <c r="B47" s="119" t="s">
        <v>415</v>
      </c>
      <c r="C47" s="119" t="s">
        <v>416</v>
      </c>
      <c r="D47" s="119" t="s">
        <v>417</v>
      </c>
      <c r="E47" s="119">
        <v>4</v>
      </c>
      <c r="F47" s="119">
        <v>5</v>
      </c>
      <c r="G47" s="119">
        <v>6</v>
      </c>
      <c r="H47" s="119">
        <v>8</v>
      </c>
      <c r="I47" s="119" t="s">
        <v>418</v>
      </c>
      <c r="J47" s="119" t="s">
        <v>280</v>
      </c>
      <c r="K47" s="119" t="s">
        <v>419</v>
      </c>
      <c r="L47" s="97"/>
    </row>
    <row r="48" spans="1:12">
      <c r="A48" s="50" t="s">
        <v>420</v>
      </c>
      <c r="B48" s="52">
        <v>778</v>
      </c>
      <c r="C48" s="52">
        <v>826</v>
      </c>
      <c r="D48" s="52">
        <v>738</v>
      </c>
      <c r="E48" s="120"/>
      <c r="F48" s="120"/>
      <c r="G48" s="120"/>
      <c r="H48" s="120"/>
      <c r="I48" s="121">
        <f t="shared" ref="I48:I79" si="2">SUM(B48:H48)</f>
        <v>2342</v>
      </c>
      <c r="J48" s="122">
        <f t="shared" ref="J48:J108" si="3">AVERAGE(B48:H48)</f>
        <v>780.66666666666663</v>
      </c>
      <c r="K48" s="122">
        <f>STDEV(B48:D48)/SQRT(C$3)</f>
        <v>31.451759525075044</v>
      </c>
      <c r="L48" s="97"/>
    </row>
    <row r="49" spans="1:12">
      <c r="A49" s="32" t="s">
        <v>421</v>
      </c>
      <c r="B49" s="52">
        <v>1424</v>
      </c>
      <c r="C49" s="52">
        <v>1008</v>
      </c>
      <c r="D49" s="52">
        <v>1102</v>
      </c>
      <c r="E49" s="120"/>
      <c r="F49" s="120"/>
      <c r="G49" s="120"/>
      <c r="H49" s="120"/>
      <c r="I49" s="121">
        <f t="shared" si="2"/>
        <v>3534</v>
      </c>
      <c r="J49" s="122">
        <f t="shared" si="3"/>
        <v>1178</v>
      </c>
      <c r="K49" s="122">
        <f t="shared" ref="K49:K108" si="4">STDEV(B49:D49)/SQRT(C$3)</f>
        <v>155.73280951146364</v>
      </c>
      <c r="L49" s="97"/>
    </row>
    <row r="50" spans="1:12">
      <c r="A50" s="50" t="s">
        <v>422</v>
      </c>
      <c r="B50" s="52">
        <v>902</v>
      </c>
      <c r="C50" s="52">
        <v>714</v>
      </c>
      <c r="D50" s="52">
        <v>936</v>
      </c>
      <c r="E50" s="120"/>
      <c r="F50" s="120"/>
      <c r="G50" s="120"/>
      <c r="H50" s="120"/>
      <c r="I50" s="121">
        <f t="shared" si="2"/>
        <v>2552</v>
      </c>
      <c r="J50" s="122">
        <f t="shared" si="3"/>
        <v>850.66666666666663</v>
      </c>
      <c r="K50" s="122">
        <f t="shared" si="4"/>
        <v>85.353711765805727</v>
      </c>
      <c r="L50" s="97"/>
    </row>
    <row r="51" spans="1:12">
      <c r="A51" s="32" t="s">
        <v>423</v>
      </c>
      <c r="B51" s="52">
        <v>1202</v>
      </c>
      <c r="C51" s="52">
        <v>932</v>
      </c>
      <c r="D51" s="52">
        <v>972</v>
      </c>
      <c r="E51" s="120"/>
      <c r="F51" s="120"/>
      <c r="G51" s="120"/>
      <c r="H51" s="120"/>
      <c r="I51" s="121">
        <f t="shared" si="2"/>
        <v>3106</v>
      </c>
      <c r="J51" s="122">
        <f t="shared" si="3"/>
        <v>1035.3333333333333</v>
      </c>
      <c r="K51" s="122">
        <f t="shared" si="4"/>
        <v>104.01691749844318</v>
      </c>
      <c r="L51" s="97"/>
    </row>
    <row r="52" spans="1:12">
      <c r="A52" s="50" t="s">
        <v>374</v>
      </c>
      <c r="B52" s="52">
        <v>630</v>
      </c>
      <c r="C52" s="52">
        <v>406</v>
      </c>
      <c r="D52" s="52">
        <v>558</v>
      </c>
      <c r="E52" s="120"/>
      <c r="F52" s="120"/>
      <c r="G52" s="120"/>
      <c r="H52" s="120"/>
      <c r="I52" s="121">
        <f t="shared" si="2"/>
        <v>1594</v>
      </c>
      <c r="J52" s="122">
        <f t="shared" si="3"/>
        <v>531.33333333333337</v>
      </c>
      <c r="K52" s="122">
        <f t="shared" si="4"/>
        <v>81.630881737014121</v>
      </c>
      <c r="L52" s="97"/>
    </row>
    <row r="53" spans="1:12">
      <c r="A53" s="50" t="s">
        <v>107</v>
      </c>
      <c r="B53" s="52">
        <v>352</v>
      </c>
      <c r="C53" s="52">
        <v>400</v>
      </c>
      <c r="D53" s="52">
        <v>368</v>
      </c>
      <c r="E53" s="120"/>
      <c r="F53" s="120"/>
      <c r="G53" s="120"/>
      <c r="H53" s="120"/>
      <c r="I53" s="121">
        <f t="shared" si="2"/>
        <v>1120</v>
      </c>
      <c r="J53" s="122">
        <f t="shared" si="3"/>
        <v>373.33333333333331</v>
      </c>
      <c r="K53" s="122">
        <f t="shared" si="4"/>
        <v>17.446297180187813</v>
      </c>
      <c r="L53" s="97"/>
    </row>
    <row r="54" spans="1:12">
      <c r="A54" s="50" t="s">
        <v>108</v>
      </c>
      <c r="B54" s="52">
        <v>348</v>
      </c>
      <c r="C54" s="52">
        <v>554</v>
      </c>
      <c r="D54" s="52">
        <v>514</v>
      </c>
      <c r="E54" s="120"/>
      <c r="F54" s="120"/>
      <c r="G54" s="120"/>
      <c r="H54" s="120"/>
      <c r="I54" s="121">
        <f t="shared" si="2"/>
        <v>1416</v>
      </c>
      <c r="J54" s="122">
        <f t="shared" si="3"/>
        <v>472</v>
      </c>
      <c r="K54" s="122">
        <f t="shared" si="4"/>
        <v>77.974305093325057</v>
      </c>
      <c r="L54" s="97"/>
    </row>
    <row r="55" spans="1:12">
      <c r="A55" s="50" t="s">
        <v>424</v>
      </c>
      <c r="B55" s="52">
        <v>980</v>
      </c>
      <c r="C55" s="52">
        <v>856</v>
      </c>
      <c r="D55" s="52">
        <v>868</v>
      </c>
      <c r="E55" s="120"/>
      <c r="F55" s="120"/>
      <c r="G55" s="120"/>
      <c r="H55" s="120"/>
      <c r="I55" s="121">
        <f t="shared" si="2"/>
        <v>2704</v>
      </c>
      <c r="J55" s="122">
        <f t="shared" si="3"/>
        <v>901.33333333333337</v>
      </c>
      <c r="K55" s="122">
        <f t="shared" si="4"/>
        <v>48.819581405817097</v>
      </c>
      <c r="L55" s="97"/>
    </row>
    <row r="56" spans="1:12">
      <c r="A56" s="50" t="s">
        <v>425</v>
      </c>
      <c r="B56" s="52">
        <v>372</v>
      </c>
      <c r="C56" s="52">
        <v>390</v>
      </c>
      <c r="D56" s="52">
        <v>314</v>
      </c>
      <c r="E56" s="120"/>
      <c r="F56" s="120"/>
      <c r="G56" s="120"/>
      <c r="H56" s="120"/>
      <c r="I56" s="121">
        <f t="shared" si="2"/>
        <v>1076</v>
      </c>
      <c r="J56" s="122">
        <f t="shared" si="3"/>
        <v>358.66666666666669</v>
      </c>
      <c r="K56" s="122">
        <f t="shared" si="4"/>
        <v>28.350232917805052</v>
      </c>
      <c r="L56" s="97"/>
    </row>
    <row r="57" spans="1:12">
      <c r="A57" s="50" t="s">
        <v>384</v>
      </c>
      <c r="B57" s="52">
        <v>560</v>
      </c>
      <c r="C57" s="52">
        <v>446</v>
      </c>
      <c r="D57" s="52">
        <v>498</v>
      </c>
      <c r="E57" s="120"/>
      <c r="F57" s="120"/>
      <c r="G57" s="120"/>
      <c r="H57" s="120"/>
      <c r="I57" s="121">
        <f t="shared" si="2"/>
        <v>1504</v>
      </c>
      <c r="J57" s="122">
        <f t="shared" si="3"/>
        <v>501.33333333333331</v>
      </c>
      <c r="K57" s="122">
        <f t="shared" si="4"/>
        <v>40.740466018424641</v>
      </c>
      <c r="L57" s="97"/>
    </row>
    <row r="58" spans="1:12">
      <c r="A58" s="32" t="s">
        <v>119</v>
      </c>
      <c r="B58" s="52">
        <v>1698</v>
      </c>
      <c r="C58" s="52">
        <v>1420</v>
      </c>
      <c r="D58" s="52">
        <v>1414</v>
      </c>
      <c r="E58" s="120"/>
      <c r="F58" s="120"/>
      <c r="G58" s="120"/>
      <c r="H58" s="120"/>
      <c r="I58" s="121">
        <f t="shared" si="2"/>
        <v>4532</v>
      </c>
      <c r="J58" s="122">
        <f t="shared" si="3"/>
        <v>1510.6666666666667</v>
      </c>
      <c r="K58" s="122">
        <f t="shared" si="4"/>
        <v>115.82833727585303</v>
      </c>
      <c r="L58" s="97"/>
    </row>
    <row r="59" spans="1:12">
      <c r="A59" s="32" t="s">
        <v>360</v>
      </c>
      <c r="B59" s="52">
        <v>1092</v>
      </c>
      <c r="C59" s="52">
        <v>1248</v>
      </c>
      <c r="D59" s="52">
        <v>1544</v>
      </c>
      <c r="E59" s="120"/>
      <c r="F59" s="120"/>
      <c r="G59" s="120"/>
      <c r="H59" s="120"/>
      <c r="I59" s="121">
        <f t="shared" si="2"/>
        <v>3884</v>
      </c>
      <c r="J59" s="122">
        <f t="shared" si="3"/>
        <v>1294.6666666666667</v>
      </c>
      <c r="K59" s="122">
        <f t="shared" si="4"/>
        <v>163.88479126830387</v>
      </c>
      <c r="L59" s="97"/>
    </row>
    <row r="60" spans="1:12">
      <c r="A60" s="32" t="s">
        <v>426</v>
      </c>
      <c r="B60" s="52">
        <v>1236</v>
      </c>
      <c r="C60" s="52">
        <v>1264</v>
      </c>
      <c r="D60" s="52">
        <v>1456</v>
      </c>
      <c r="E60" s="120"/>
      <c r="F60" s="120"/>
      <c r="G60" s="120"/>
      <c r="H60" s="120"/>
      <c r="I60" s="121">
        <f t="shared" si="2"/>
        <v>3956</v>
      </c>
      <c r="J60" s="122">
        <f t="shared" si="3"/>
        <v>1318.6666666666667</v>
      </c>
      <c r="K60" s="122">
        <f t="shared" si="4"/>
        <v>85.484948767633981</v>
      </c>
      <c r="L60" s="97"/>
    </row>
    <row r="61" spans="1:12">
      <c r="A61" s="32" t="s">
        <v>427</v>
      </c>
      <c r="B61" s="52">
        <v>1098</v>
      </c>
      <c r="C61" s="52">
        <v>966</v>
      </c>
      <c r="D61" s="52">
        <v>1160</v>
      </c>
      <c r="E61" s="120"/>
      <c r="F61" s="120"/>
      <c r="G61" s="120"/>
      <c r="H61" s="120"/>
      <c r="I61" s="121">
        <f t="shared" si="2"/>
        <v>3224</v>
      </c>
      <c r="J61" s="122">
        <f t="shared" si="3"/>
        <v>1074.6666666666667</v>
      </c>
      <c r="K61" s="122">
        <f t="shared" si="4"/>
        <v>70.728045869050845</v>
      </c>
      <c r="L61" s="97"/>
    </row>
    <row r="62" spans="1:12">
      <c r="A62" s="32" t="s">
        <v>428</v>
      </c>
      <c r="B62" s="52">
        <v>1282</v>
      </c>
      <c r="C62" s="52">
        <v>1332</v>
      </c>
      <c r="D62" s="52">
        <v>1052</v>
      </c>
      <c r="E62" s="120"/>
      <c r="F62" s="120"/>
      <c r="G62" s="120"/>
      <c r="H62" s="120"/>
      <c r="I62" s="121">
        <f t="shared" si="2"/>
        <v>3666</v>
      </c>
      <c r="J62" s="122">
        <f t="shared" si="3"/>
        <v>1222</v>
      </c>
      <c r="K62" s="122">
        <f t="shared" si="4"/>
        <v>106.59757431399152</v>
      </c>
      <c r="L62" s="97"/>
    </row>
    <row r="63" spans="1:12">
      <c r="A63" s="123"/>
      <c r="B63" s="97"/>
      <c r="C63" s="124"/>
      <c r="D63" s="124"/>
      <c r="E63" s="120"/>
      <c r="F63" s="120"/>
      <c r="G63" s="120"/>
      <c r="H63" s="120"/>
      <c r="I63" s="121">
        <f t="shared" si="2"/>
        <v>0</v>
      </c>
      <c r="J63" s="122" t="e">
        <f t="shared" si="3"/>
        <v>#DIV/0!</v>
      </c>
      <c r="K63" s="122" t="e">
        <f t="shared" si="4"/>
        <v>#DIV/0!</v>
      </c>
      <c r="L63" s="97"/>
    </row>
    <row r="64" spans="1:12">
      <c r="A64" s="123"/>
      <c r="B64" s="97"/>
      <c r="C64" s="124"/>
      <c r="D64" s="124"/>
      <c r="E64" s="120"/>
      <c r="F64" s="120"/>
      <c r="G64" s="120"/>
      <c r="H64" s="120"/>
      <c r="I64" s="121">
        <f t="shared" si="2"/>
        <v>0</v>
      </c>
      <c r="J64" s="122" t="e">
        <f t="shared" si="3"/>
        <v>#DIV/0!</v>
      </c>
      <c r="K64" s="122" t="e">
        <f t="shared" si="4"/>
        <v>#DIV/0!</v>
      </c>
      <c r="L64" s="97"/>
    </row>
    <row r="65" spans="1:12">
      <c r="A65" s="123"/>
      <c r="B65" s="97"/>
      <c r="C65" s="124"/>
      <c r="D65" s="124"/>
      <c r="E65" s="120"/>
      <c r="F65" s="120"/>
      <c r="G65" s="120"/>
      <c r="H65" s="120"/>
      <c r="I65" s="121">
        <f t="shared" si="2"/>
        <v>0</v>
      </c>
      <c r="J65" s="122" t="e">
        <f t="shared" si="3"/>
        <v>#DIV/0!</v>
      </c>
      <c r="K65" s="122" t="e">
        <f t="shared" si="4"/>
        <v>#DIV/0!</v>
      </c>
      <c r="L65" s="97"/>
    </row>
    <row r="66" spans="1:12">
      <c r="A66" s="123"/>
      <c r="B66" s="97"/>
      <c r="C66" s="124"/>
      <c r="D66" s="124"/>
      <c r="E66" s="120"/>
      <c r="F66" s="120"/>
      <c r="G66" s="120"/>
      <c r="H66" s="120"/>
      <c r="I66" s="121">
        <f t="shared" si="2"/>
        <v>0</v>
      </c>
      <c r="J66" s="122" t="e">
        <f t="shared" si="3"/>
        <v>#DIV/0!</v>
      </c>
      <c r="K66" s="122" t="e">
        <f t="shared" si="4"/>
        <v>#DIV/0!</v>
      </c>
      <c r="L66" s="97"/>
    </row>
    <row r="67" spans="1:12">
      <c r="A67" s="123"/>
      <c r="B67" s="97"/>
      <c r="C67" s="124"/>
      <c r="D67" s="124"/>
      <c r="E67" s="120"/>
      <c r="F67" s="120"/>
      <c r="G67" s="120"/>
      <c r="H67" s="120"/>
      <c r="I67" s="121">
        <f t="shared" si="2"/>
        <v>0</v>
      </c>
      <c r="J67" s="122" t="e">
        <f t="shared" si="3"/>
        <v>#DIV/0!</v>
      </c>
      <c r="K67" s="122" t="e">
        <f t="shared" si="4"/>
        <v>#DIV/0!</v>
      </c>
      <c r="L67" s="97"/>
    </row>
    <row r="68" spans="1:12">
      <c r="A68" s="123"/>
      <c r="B68" s="124"/>
      <c r="C68" s="124"/>
      <c r="D68" s="124"/>
      <c r="E68" s="120"/>
      <c r="F68" s="120"/>
      <c r="G68" s="120"/>
      <c r="H68" s="120"/>
      <c r="I68" s="121">
        <f t="shared" si="2"/>
        <v>0</v>
      </c>
      <c r="J68" s="122" t="e">
        <f t="shared" si="3"/>
        <v>#DIV/0!</v>
      </c>
      <c r="K68" s="122" t="e">
        <f t="shared" si="4"/>
        <v>#DIV/0!</v>
      </c>
      <c r="L68" s="97"/>
    </row>
    <row r="69" spans="1:12">
      <c r="A69" s="123"/>
      <c r="B69" s="124"/>
      <c r="C69" s="124"/>
      <c r="D69" s="124"/>
      <c r="E69" s="120"/>
      <c r="F69" s="120"/>
      <c r="G69" s="120"/>
      <c r="H69" s="120"/>
      <c r="I69" s="121">
        <f t="shared" si="2"/>
        <v>0</v>
      </c>
      <c r="J69" s="122" t="e">
        <f t="shared" si="3"/>
        <v>#DIV/0!</v>
      </c>
      <c r="K69" s="122" t="e">
        <f t="shared" si="4"/>
        <v>#DIV/0!</v>
      </c>
      <c r="L69" s="97"/>
    </row>
    <row r="70" spans="1:12">
      <c r="A70" s="123"/>
      <c r="B70" s="124"/>
      <c r="C70" s="124"/>
      <c r="D70" s="124"/>
      <c r="E70" s="120"/>
      <c r="F70" s="120"/>
      <c r="G70" s="120"/>
      <c r="H70" s="120"/>
      <c r="I70" s="121">
        <f t="shared" si="2"/>
        <v>0</v>
      </c>
      <c r="J70" s="122" t="e">
        <f t="shared" si="3"/>
        <v>#DIV/0!</v>
      </c>
      <c r="K70" s="122" t="e">
        <f t="shared" si="4"/>
        <v>#DIV/0!</v>
      </c>
      <c r="L70" s="97"/>
    </row>
    <row r="71" spans="1:12">
      <c r="A71" s="123"/>
      <c r="B71" s="124"/>
      <c r="C71" s="124"/>
      <c r="D71" s="124"/>
      <c r="E71" s="120"/>
      <c r="F71" s="120"/>
      <c r="G71" s="120"/>
      <c r="H71" s="120"/>
      <c r="I71" s="121">
        <f t="shared" si="2"/>
        <v>0</v>
      </c>
      <c r="J71" s="122" t="e">
        <f t="shared" si="3"/>
        <v>#DIV/0!</v>
      </c>
      <c r="K71" s="122" t="e">
        <f t="shared" si="4"/>
        <v>#DIV/0!</v>
      </c>
      <c r="L71" s="97"/>
    </row>
    <row r="72" spans="1:12">
      <c r="A72" s="123"/>
      <c r="B72" s="124"/>
      <c r="C72" s="124"/>
      <c r="D72" s="124"/>
      <c r="E72" s="120"/>
      <c r="F72" s="120"/>
      <c r="G72" s="120"/>
      <c r="H72" s="120"/>
      <c r="I72" s="121">
        <f t="shared" si="2"/>
        <v>0</v>
      </c>
      <c r="J72" s="122" t="e">
        <f t="shared" si="3"/>
        <v>#DIV/0!</v>
      </c>
      <c r="K72" s="122" t="e">
        <f t="shared" si="4"/>
        <v>#DIV/0!</v>
      </c>
      <c r="L72" s="97"/>
    </row>
    <row r="73" spans="1:12">
      <c r="A73" s="123"/>
      <c r="B73" s="124"/>
      <c r="C73" s="124"/>
      <c r="D73" s="124"/>
      <c r="E73" s="120"/>
      <c r="F73" s="120"/>
      <c r="G73" s="120"/>
      <c r="H73" s="120"/>
      <c r="I73" s="121">
        <f t="shared" si="2"/>
        <v>0</v>
      </c>
      <c r="J73" s="122" t="e">
        <f t="shared" si="3"/>
        <v>#DIV/0!</v>
      </c>
      <c r="K73" s="122" t="e">
        <f t="shared" si="4"/>
        <v>#DIV/0!</v>
      </c>
      <c r="L73" s="97"/>
    </row>
    <row r="74" spans="1:12">
      <c r="A74" s="123"/>
      <c r="B74" s="124"/>
      <c r="C74" s="124"/>
      <c r="D74" s="124"/>
      <c r="E74" s="120"/>
      <c r="F74" s="120"/>
      <c r="G74" s="120"/>
      <c r="H74" s="120"/>
      <c r="I74" s="121">
        <f t="shared" si="2"/>
        <v>0</v>
      </c>
      <c r="J74" s="122" t="e">
        <f t="shared" si="3"/>
        <v>#DIV/0!</v>
      </c>
      <c r="K74" s="122" t="e">
        <f t="shared" si="4"/>
        <v>#DIV/0!</v>
      </c>
      <c r="L74" s="97"/>
    </row>
    <row r="75" spans="1:12">
      <c r="A75" s="123"/>
      <c r="B75" s="124"/>
      <c r="C75" s="124"/>
      <c r="D75" s="124"/>
      <c r="E75" s="120"/>
      <c r="F75" s="120"/>
      <c r="G75" s="120"/>
      <c r="H75" s="120"/>
      <c r="I75" s="121">
        <f t="shared" si="2"/>
        <v>0</v>
      </c>
      <c r="J75" s="122" t="e">
        <f t="shared" si="3"/>
        <v>#DIV/0!</v>
      </c>
      <c r="K75" s="122" t="e">
        <f t="shared" si="4"/>
        <v>#DIV/0!</v>
      </c>
      <c r="L75" s="97"/>
    </row>
    <row r="76" spans="1:12">
      <c r="A76" s="123"/>
      <c r="B76" s="124"/>
      <c r="C76" s="124"/>
      <c r="D76" s="124"/>
      <c r="E76" s="120"/>
      <c r="F76" s="120"/>
      <c r="G76" s="120"/>
      <c r="H76" s="120"/>
      <c r="I76" s="121">
        <f t="shared" si="2"/>
        <v>0</v>
      </c>
      <c r="J76" s="122" t="e">
        <f t="shared" si="3"/>
        <v>#DIV/0!</v>
      </c>
      <c r="K76" s="122" t="e">
        <f t="shared" si="4"/>
        <v>#DIV/0!</v>
      </c>
      <c r="L76" s="97"/>
    </row>
    <row r="77" spans="1:12">
      <c r="A77" s="123"/>
      <c r="B77" s="124"/>
      <c r="C77" s="124"/>
      <c r="D77" s="124"/>
      <c r="E77" s="120"/>
      <c r="F77" s="120"/>
      <c r="G77" s="120"/>
      <c r="H77" s="120"/>
      <c r="I77" s="121">
        <f t="shared" si="2"/>
        <v>0</v>
      </c>
      <c r="J77" s="122" t="e">
        <f t="shared" si="3"/>
        <v>#DIV/0!</v>
      </c>
      <c r="K77" s="122" t="e">
        <f t="shared" si="4"/>
        <v>#DIV/0!</v>
      </c>
      <c r="L77" s="97"/>
    </row>
    <row r="78" spans="1:12">
      <c r="A78" s="123"/>
      <c r="B78" s="124"/>
      <c r="C78" s="124"/>
      <c r="D78" s="124"/>
      <c r="E78" s="120"/>
      <c r="F78" s="120"/>
      <c r="G78" s="120"/>
      <c r="H78" s="120"/>
      <c r="I78" s="121">
        <f t="shared" si="2"/>
        <v>0</v>
      </c>
      <c r="J78" s="122" t="e">
        <f t="shared" si="3"/>
        <v>#DIV/0!</v>
      </c>
      <c r="K78" s="122" t="e">
        <f t="shared" si="4"/>
        <v>#DIV/0!</v>
      </c>
      <c r="L78" s="97"/>
    </row>
    <row r="79" spans="1:12">
      <c r="A79" s="123"/>
      <c r="B79" s="124"/>
      <c r="C79" s="124"/>
      <c r="D79" s="124"/>
      <c r="E79" s="120"/>
      <c r="F79" s="120"/>
      <c r="G79" s="120"/>
      <c r="H79" s="120"/>
      <c r="I79" s="121">
        <f t="shared" si="2"/>
        <v>0</v>
      </c>
      <c r="J79" s="122" t="e">
        <f t="shared" si="3"/>
        <v>#DIV/0!</v>
      </c>
      <c r="K79" s="122" t="e">
        <f t="shared" si="4"/>
        <v>#DIV/0!</v>
      </c>
      <c r="L79" s="97"/>
    </row>
    <row r="80" spans="1:12">
      <c r="A80" s="123"/>
      <c r="B80" s="124"/>
      <c r="C80" s="124"/>
      <c r="D80" s="124"/>
      <c r="E80" s="120"/>
      <c r="F80" s="120"/>
      <c r="G80" s="120"/>
      <c r="H80" s="120"/>
      <c r="I80" s="121">
        <f t="shared" ref="I80:I108" si="5">SUM(B80:H80)</f>
        <v>0</v>
      </c>
      <c r="J80" s="122" t="e">
        <f t="shared" si="3"/>
        <v>#DIV/0!</v>
      </c>
      <c r="K80" s="122" t="e">
        <f t="shared" si="4"/>
        <v>#DIV/0!</v>
      </c>
      <c r="L80" s="97"/>
    </row>
    <row r="81" spans="1:12">
      <c r="A81" s="123"/>
      <c r="B81" s="124"/>
      <c r="C81" s="124"/>
      <c r="D81" s="124"/>
      <c r="E81" s="120"/>
      <c r="F81" s="120"/>
      <c r="G81" s="120"/>
      <c r="H81" s="120"/>
      <c r="I81" s="121">
        <f t="shared" si="5"/>
        <v>0</v>
      </c>
      <c r="J81" s="122" t="e">
        <f t="shared" si="3"/>
        <v>#DIV/0!</v>
      </c>
      <c r="K81" s="122" t="e">
        <f t="shared" si="4"/>
        <v>#DIV/0!</v>
      </c>
      <c r="L81" s="97"/>
    </row>
    <row r="82" spans="1:12">
      <c r="A82" s="123"/>
      <c r="B82" s="124"/>
      <c r="C82" s="124"/>
      <c r="D82" s="124"/>
      <c r="E82" s="120"/>
      <c r="F82" s="120"/>
      <c r="G82" s="120"/>
      <c r="H82" s="120"/>
      <c r="I82" s="121">
        <f t="shared" si="5"/>
        <v>0</v>
      </c>
      <c r="J82" s="122" t="e">
        <f t="shared" si="3"/>
        <v>#DIV/0!</v>
      </c>
      <c r="K82" s="122" t="e">
        <f t="shared" si="4"/>
        <v>#DIV/0!</v>
      </c>
      <c r="L82" s="97"/>
    </row>
    <row r="83" spans="1:12">
      <c r="A83" s="123"/>
      <c r="B83" s="124"/>
      <c r="C83" s="124"/>
      <c r="D83" s="124"/>
      <c r="E83" s="120"/>
      <c r="F83" s="120"/>
      <c r="G83" s="120"/>
      <c r="H83" s="120"/>
      <c r="I83" s="121">
        <f t="shared" si="5"/>
        <v>0</v>
      </c>
      <c r="J83" s="122" t="e">
        <f t="shared" si="3"/>
        <v>#DIV/0!</v>
      </c>
      <c r="K83" s="122" t="e">
        <f t="shared" si="4"/>
        <v>#DIV/0!</v>
      </c>
      <c r="L83" s="97"/>
    </row>
    <row r="84" spans="1:12">
      <c r="A84" s="123"/>
      <c r="B84" s="124"/>
      <c r="C84" s="124"/>
      <c r="D84" s="124"/>
      <c r="E84" s="120"/>
      <c r="F84" s="120"/>
      <c r="G84" s="120"/>
      <c r="H84" s="120"/>
      <c r="I84" s="121">
        <f t="shared" si="5"/>
        <v>0</v>
      </c>
      <c r="J84" s="122" t="e">
        <f t="shared" si="3"/>
        <v>#DIV/0!</v>
      </c>
      <c r="K84" s="122" t="e">
        <f t="shared" si="4"/>
        <v>#DIV/0!</v>
      </c>
      <c r="L84" s="97"/>
    </row>
    <row r="85" spans="1:12">
      <c r="A85" s="123"/>
      <c r="B85" s="124"/>
      <c r="C85" s="124"/>
      <c r="D85" s="124"/>
      <c r="E85" s="120"/>
      <c r="F85" s="120"/>
      <c r="G85" s="120"/>
      <c r="H85" s="120"/>
      <c r="I85" s="121">
        <f t="shared" si="5"/>
        <v>0</v>
      </c>
      <c r="J85" s="122" t="e">
        <f t="shared" si="3"/>
        <v>#DIV/0!</v>
      </c>
      <c r="K85" s="122" t="e">
        <f t="shared" si="4"/>
        <v>#DIV/0!</v>
      </c>
      <c r="L85" s="97"/>
    </row>
    <row r="86" spans="1:12">
      <c r="A86" s="123"/>
      <c r="B86" s="124"/>
      <c r="C86" s="124"/>
      <c r="D86" s="124"/>
      <c r="E86" s="120"/>
      <c r="F86" s="120"/>
      <c r="G86" s="120"/>
      <c r="H86" s="120"/>
      <c r="I86" s="121">
        <f t="shared" si="5"/>
        <v>0</v>
      </c>
      <c r="J86" s="122" t="e">
        <f t="shared" si="3"/>
        <v>#DIV/0!</v>
      </c>
      <c r="K86" s="122" t="e">
        <f t="shared" si="4"/>
        <v>#DIV/0!</v>
      </c>
      <c r="L86" s="97"/>
    </row>
    <row r="87" spans="1:12">
      <c r="A87" s="123"/>
      <c r="B87" s="124"/>
      <c r="C87" s="124"/>
      <c r="D87" s="124"/>
      <c r="E87" s="120"/>
      <c r="F87" s="120"/>
      <c r="G87" s="120"/>
      <c r="H87" s="120"/>
      <c r="I87" s="121">
        <f t="shared" si="5"/>
        <v>0</v>
      </c>
      <c r="J87" s="122" t="e">
        <f t="shared" si="3"/>
        <v>#DIV/0!</v>
      </c>
      <c r="K87" s="122" t="e">
        <f t="shared" si="4"/>
        <v>#DIV/0!</v>
      </c>
      <c r="L87" s="97"/>
    </row>
    <row r="88" spans="1:12">
      <c r="A88" s="123"/>
      <c r="B88" s="124"/>
      <c r="C88" s="124"/>
      <c r="D88" s="124"/>
      <c r="E88" s="120"/>
      <c r="F88" s="120"/>
      <c r="G88" s="120"/>
      <c r="H88" s="120"/>
      <c r="I88" s="121">
        <f t="shared" si="5"/>
        <v>0</v>
      </c>
      <c r="J88" s="122" t="e">
        <f t="shared" si="3"/>
        <v>#DIV/0!</v>
      </c>
      <c r="K88" s="122" t="e">
        <f t="shared" si="4"/>
        <v>#DIV/0!</v>
      </c>
      <c r="L88" s="97"/>
    </row>
    <row r="89" spans="1:12">
      <c r="A89" s="123"/>
      <c r="B89" s="124"/>
      <c r="C89" s="124"/>
      <c r="D89" s="124"/>
      <c r="E89" s="120"/>
      <c r="F89" s="120"/>
      <c r="G89" s="120"/>
      <c r="H89" s="120"/>
      <c r="I89" s="121">
        <f t="shared" si="5"/>
        <v>0</v>
      </c>
      <c r="J89" s="122" t="e">
        <f t="shared" si="3"/>
        <v>#DIV/0!</v>
      </c>
      <c r="K89" s="122" t="e">
        <f t="shared" si="4"/>
        <v>#DIV/0!</v>
      </c>
      <c r="L89" s="97"/>
    </row>
    <row r="90" spans="1:12">
      <c r="A90" s="123"/>
      <c r="B90" s="124"/>
      <c r="C90" s="124"/>
      <c r="D90" s="124"/>
      <c r="E90" s="120"/>
      <c r="F90" s="120"/>
      <c r="G90" s="120"/>
      <c r="H90" s="120"/>
      <c r="I90" s="121">
        <f t="shared" si="5"/>
        <v>0</v>
      </c>
      <c r="J90" s="122" t="e">
        <f t="shared" si="3"/>
        <v>#DIV/0!</v>
      </c>
      <c r="K90" s="122" t="e">
        <f t="shared" si="4"/>
        <v>#DIV/0!</v>
      </c>
      <c r="L90" s="97"/>
    </row>
    <row r="91" spans="1:12">
      <c r="A91" s="123"/>
      <c r="B91" s="124"/>
      <c r="C91" s="124"/>
      <c r="D91" s="124"/>
      <c r="E91" s="120"/>
      <c r="F91" s="120"/>
      <c r="G91" s="120"/>
      <c r="H91" s="120"/>
      <c r="I91" s="121">
        <f t="shared" si="5"/>
        <v>0</v>
      </c>
      <c r="J91" s="122" t="e">
        <f t="shared" si="3"/>
        <v>#DIV/0!</v>
      </c>
      <c r="K91" s="122" t="e">
        <f t="shared" si="4"/>
        <v>#DIV/0!</v>
      </c>
      <c r="L91" s="97"/>
    </row>
    <row r="92" spans="1:12">
      <c r="A92" s="123"/>
      <c r="B92" s="124"/>
      <c r="C92" s="124"/>
      <c r="D92" s="124"/>
      <c r="E92" s="120"/>
      <c r="F92" s="120"/>
      <c r="G92" s="120"/>
      <c r="H92" s="120"/>
      <c r="I92" s="121">
        <f t="shared" si="5"/>
        <v>0</v>
      </c>
      <c r="J92" s="122" t="e">
        <f t="shared" si="3"/>
        <v>#DIV/0!</v>
      </c>
      <c r="K92" s="122" t="e">
        <f t="shared" si="4"/>
        <v>#DIV/0!</v>
      </c>
      <c r="L92" s="97"/>
    </row>
    <row r="93" spans="1:12">
      <c r="A93" s="123"/>
      <c r="B93" s="124"/>
      <c r="C93" s="124"/>
      <c r="D93" s="124"/>
      <c r="E93" s="120"/>
      <c r="F93" s="120"/>
      <c r="G93" s="120"/>
      <c r="H93" s="120"/>
      <c r="I93" s="121">
        <f t="shared" si="5"/>
        <v>0</v>
      </c>
      <c r="J93" s="122" t="e">
        <f t="shared" si="3"/>
        <v>#DIV/0!</v>
      </c>
      <c r="K93" s="122" t="e">
        <f t="shared" si="4"/>
        <v>#DIV/0!</v>
      </c>
      <c r="L93" s="97"/>
    </row>
    <row r="94" spans="1:12">
      <c r="A94" s="123"/>
      <c r="B94" s="124"/>
      <c r="C94" s="124"/>
      <c r="D94" s="124"/>
      <c r="E94" s="120"/>
      <c r="F94" s="120"/>
      <c r="G94" s="120"/>
      <c r="H94" s="120"/>
      <c r="I94" s="121">
        <f t="shared" si="5"/>
        <v>0</v>
      </c>
      <c r="J94" s="122" t="e">
        <f t="shared" si="3"/>
        <v>#DIV/0!</v>
      </c>
      <c r="K94" s="122" t="e">
        <f t="shared" si="4"/>
        <v>#DIV/0!</v>
      </c>
      <c r="L94" s="97"/>
    </row>
    <row r="95" spans="1:12">
      <c r="A95" s="123"/>
      <c r="B95" s="124"/>
      <c r="C95" s="124"/>
      <c r="D95" s="124"/>
      <c r="E95" s="120"/>
      <c r="F95" s="120"/>
      <c r="G95" s="120"/>
      <c r="H95" s="120"/>
      <c r="I95" s="121">
        <f t="shared" si="5"/>
        <v>0</v>
      </c>
      <c r="J95" s="122" t="e">
        <f t="shared" si="3"/>
        <v>#DIV/0!</v>
      </c>
      <c r="K95" s="122" t="e">
        <f t="shared" si="4"/>
        <v>#DIV/0!</v>
      </c>
      <c r="L95" s="97"/>
    </row>
    <row r="96" spans="1:12">
      <c r="A96" s="123"/>
      <c r="B96" s="124"/>
      <c r="C96" s="124"/>
      <c r="D96" s="124"/>
      <c r="E96" s="120"/>
      <c r="F96" s="120"/>
      <c r="G96" s="120"/>
      <c r="H96" s="120"/>
      <c r="I96" s="121">
        <f t="shared" si="5"/>
        <v>0</v>
      </c>
      <c r="J96" s="122" t="e">
        <f t="shared" si="3"/>
        <v>#DIV/0!</v>
      </c>
      <c r="K96" s="122" t="e">
        <f t="shared" si="4"/>
        <v>#DIV/0!</v>
      </c>
      <c r="L96" s="97"/>
    </row>
    <row r="97" spans="1:12">
      <c r="A97" s="123"/>
      <c r="B97" s="124"/>
      <c r="C97" s="124"/>
      <c r="D97" s="124"/>
      <c r="E97" s="120"/>
      <c r="F97" s="120"/>
      <c r="G97" s="120"/>
      <c r="H97" s="120"/>
      <c r="I97" s="121">
        <f t="shared" si="5"/>
        <v>0</v>
      </c>
      <c r="J97" s="122" t="e">
        <f t="shared" si="3"/>
        <v>#DIV/0!</v>
      </c>
      <c r="K97" s="122" t="e">
        <f t="shared" si="4"/>
        <v>#DIV/0!</v>
      </c>
      <c r="L97" s="97"/>
    </row>
    <row r="98" spans="1:12">
      <c r="A98" s="123"/>
      <c r="B98" s="124"/>
      <c r="C98" s="124"/>
      <c r="D98" s="124"/>
      <c r="E98" s="120"/>
      <c r="F98" s="120"/>
      <c r="G98" s="120"/>
      <c r="H98" s="120"/>
      <c r="I98" s="121">
        <f t="shared" si="5"/>
        <v>0</v>
      </c>
      <c r="J98" s="122" t="e">
        <f t="shared" si="3"/>
        <v>#DIV/0!</v>
      </c>
      <c r="K98" s="122" t="e">
        <f t="shared" si="4"/>
        <v>#DIV/0!</v>
      </c>
      <c r="L98" s="97"/>
    </row>
    <row r="99" spans="1:12">
      <c r="A99" s="123"/>
      <c r="B99" s="124"/>
      <c r="C99" s="124"/>
      <c r="D99" s="124"/>
      <c r="E99" s="120"/>
      <c r="F99" s="120"/>
      <c r="G99" s="120"/>
      <c r="H99" s="120"/>
      <c r="I99" s="121">
        <f t="shared" si="5"/>
        <v>0</v>
      </c>
      <c r="J99" s="122" t="e">
        <f t="shared" si="3"/>
        <v>#DIV/0!</v>
      </c>
      <c r="K99" s="122" t="e">
        <f t="shared" si="4"/>
        <v>#DIV/0!</v>
      </c>
      <c r="L99" s="97"/>
    </row>
    <row r="100" spans="1:12">
      <c r="A100" s="123"/>
      <c r="B100" s="124"/>
      <c r="C100" s="124"/>
      <c r="D100" s="124"/>
      <c r="E100" s="120"/>
      <c r="F100" s="120"/>
      <c r="G100" s="120"/>
      <c r="H100" s="120"/>
      <c r="I100" s="121">
        <f t="shared" si="5"/>
        <v>0</v>
      </c>
      <c r="J100" s="122" t="e">
        <f t="shared" si="3"/>
        <v>#DIV/0!</v>
      </c>
      <c r="K100" s="122" t="e">
        <f t="shared" si="4"/>
        <v>#DIV/0!</v>
      </c>
      <c r="L100" s="97"/>
    </row>
    <row r="101" spans="1:12">
      <c r="A101" s="123"/>
      <c r="B101" s="124"/>
      <c r="C101" s="124"/>
      <c r="D101" s="124"/>
      <c r="E101" s="120"/>
      <c r="F101" s="120"/>
      <c r="G101" s="120"/>
      <c r="H101" s="120"/>
      <c r="I101" s="121">
        <f t="shared" si="5"/>
        <v>0</v>
      </c>
      <c r="J101" s="122" t="e">
        <f t="shared" si="3"/>
        <v>#DIV/0!</v>
      </c>
      <c r="K101" s="122" t="e">
        <f t="shared" si="4"/>
        <v>#DIV/0!</v>
      </c>
      <c r="L101" s="97"/>
    </row>
    <row r="102" spans="1:12">
      <c r="A102" s="123"/>
      <c r="B102" s="124"/>
      <c r="C102" s="124"/>
      <c r="D102" s="124"/>
      <c r="E102" s="120"/>
      <c r="F102" s="120"/>
      <c r="G102" s="120"/>
      <c r="H102" s="120"/>
      <c r="I102" s="121">
        <f t="shared" si="5"/>
        <v>0</v>
      </c>
      <c r="J102" s="122" t="e">
        <f t="shared" si="3"/>
        <v>#DIV/0!</v>
      </c>
      <c r="K102" s="122" t="e">
        <f t="shared" si="4"/>
        <v>#DIV/0!</v>
      </c>
      <c r="L102" s="97"/>
    </row>
    <row r="103" spans="1:12">
      <c r="A103" s="123"/>
      <c r="B103" s="124"/>
      <c r="C103" s="124"/>
      <c r="D103" s="124"/>
      <c r="E103" s="120"/>
      <c r="F103" s="120"/>
      <c r="G103" s="120"/>
      <c r="H103" s="120"/>
      <c r="I103" s="121">
        <f t="shared" si="5"/>
        <v>0</v>
      </c>
      <c r="J103" s="122" t="e">
        <f t="shared" si="3"/>
        <v>#DIV/0!</v>
      </c>
      <c r="K103" s="122" t="e">
        <f t="shared" si="4"/>
        <v>#DIV/0!</v>
      </c>
      <c r="L103" s="97"/>
    </row>
    <row r="104" spans="1:12">
      <c r="A104" s="123"/>
      <c r="B104" s="124"/>
      <c r="C104" s="124"/>
      <c r="D104" s="124"/>
      <c r="E104" s="120"/>
      <c r="F104" s="120"/>
      <c r="G104" s="120"/>
      <c r="H104" s="120"/>
      <c r="I104" s="121">
        <f t="shared" si="5"/>
        <v>0</v>
      </c>
      <c r="J104" s="122" t="e">
        <f t="shared" si="3"/>
        <v>#DIV/0!</v>
      </c>
      <c r="K104" s="122" t="e">
        <f t="shared" si="4"/>
        <v>#DIV/0!</v>
      </c>
      <c r="L104" s="97"/>
    </row>
    <row r="105" spans="1:12">
      <c r="A105" s="123"/>
      <c r="B105" s="124"/>
      <c r="C105" s="124"/>
      <c r="D105" s="124"/>
      <c r="E105" s="120"/>
      <c r="F105" s="120"/>
      <c r="G105" s="120"/>
      <c r="H105" s="120"/>
      <c r="I105" s="121">
        <f t="shared" si="5"/>
        <v>0</v>
      </c>
      <c r="J105" s="122" t="e">
        <f t="shared" si="3"/>
        <v>#DIV/0!</v>
      </c>
      <c r="K105" s="122" t="e">
        <f t="shared" si="4"/>
        <v>#DIV/0!</v>
      </c>
      <c r="L105" s="97"/>
    </row>
    <row r="106" spans="1:12">
      <c r="A106" s="123"/>
      <c r="B106" s="124"/>
      <c r="C106" s="124"/>
      <c r="D106" s="124"/>
      <c r="E106" s="120"/>
      <c r="F106" s="120"/>
      <c r="G106" s="120"/>
      <c r="H106" s="120"/>
      <c r="I106" s="121">
        <f t="shared" si="5"/>
        <v>0</v>
      </c>
      <c r="J106" s="122" t="e">
        <f t="shared" si="3"/>
        <v>#DIV/0!</v>
      </c>
      <c r="K106" s="122" t="e">
        <f t="shared" si="4"/>
        <v>#DIV/0!</v>
      </c>
      <c r="L106" s="97"/>
    </row>
    <row r="107" spans="1:12">
      <c r="A107" s="123"/>
      <c r="B107" s="124"/>
      <c r="C107" s="124"/>
      <c r="D107" s="124"/>
      <c r="E107" s="120"/>
      <c r="F107" s="120"/>
      <c r="G107" s="120"/>
      <c r="H107" s="120"/>
      <c r="I107" s="121">
        <f t="shared" si="5"/>
        <v>0</v>
      </c>
      <c r="J107" s="122" t="e">
        <f t="shared" si="3"/>
        <v>#DIV/0!</v>
      </c>
      <c r="K107" s="122" t="e">
        <f t="shared" si="4"/>
        <v>#DIV/0!</v>
      </c>
      <c r="L107" s="97"/>
    </row>
    <row r="108" spans="1:12">
      <c r="A108" s="123"/>
      <c r="B108" s="124"/>
      <c r="C108" s="124"/>
      <c r="D108" s="124"/>
      <c r="E108" s="120"/>
      <c r="F108" s="120"/>
      <c r="G108" s="120"/>
      <c r="H108" s="120"/>
      <c r="I108" s="121">
        <f t="shared" si="5"/>
        <v>0</v>
      </c>
      <c r="J108" s="122" t="e">
        <f t="shared" si="3"/>
        <v>#DIV/0!</v>
      </c>
      <c r="K108" s="122" t="e">
        <f t="shared" si="4"/>
        <v>#DIV/0!</v>
      </c>
      <c r="L108" s="97"/>
    </row>
    <row r="109" spans="1:12">
      <c r="A109" s="125" t="s">
        <v>260</v>
      </c>
      <c r="B109" s="126">
        <f>SUM(B48:B108)</f>
        <v>13954</v>
      </c>
      <c r="C109" s="126">
        <f>SUM(C48:C108)</f>
        <v>12762</v>
      </c>
      <c r="D109" s="126">
        <f t="shared" ref="D109:I109" si="6">SUM(D48:D108)</f>
        <v>13494</v>
      </c>
      <c r="E109" s="126">
        <f t="shared" si="6"/>
        <v>0</v>
      </c>
      <c r="F109" s="126">
        <f t="shared" si="6"/>
        <v>0</v>
      </c>
      <c r="G109" s="126">
        <f t="shared" si="6"/>
        <v>0</v>
      </c>
      <c r="H109" s="126">
        <f t="shared" si="6"/>
        <v>0</v>
      </c>
      <c r="I109" s="126">
        <f t="shared" si="6"/>
        <v>40210</v>
      </c>
      <c r="J109" s="116"/>
      <c r="K109" s="97"/>
      <c r="L109" s="97"/>
    </row>
  </sheetData>
  <protectedRanges>
    <protectedRange sqref="H48:H108" name="values_3"/>
    <protectedRange sqref="E48:G108" name="values_1_1"/>
  </protectedRanges>
  <mergeCells count="7">
    <mergeCell ref="D44:E44"/>
    <mergeCell ref="D45:E45"/>
    <mergeCell ref="D1:F1"/>
    <mergeCell ref="G1:I1"/>
    <mergeCell ref="A1:A2"/>
    <mergeCell ref="B1:B2"/>
    <mergeCell ref="D43:E4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3"/>
  <sheetViews>
    <sheetView topLeftCell="A28" workbookViewId="0">
      <selection activeCell="O51" sqref="O51"/>
    </sheetView>
  </sheetViews>
  <sheetFormatPr defaultRowHeight="15"/>
  <cols>
    <col min="1" max="1" width="9.85546875" bestFit="1" customWidth="1"/>
    <col min="2" max="2" width="26.140625" bestFit="1" customWidth="1"/>
    <col min="3" max="3" width="7.5703125" bestFit="1" customWidth="1"/>
    <col min="4" max="4" width="16.7109375" bestFit="1" customWidth="1"/>
    <col min="5" max="5" width="7.5703125" bestFit="1" customWidth="1"/>
    <col min="6" max="6" width="15.42578125" bestFit="1" customWidth="1"/>
    <col min="7" max="7" width="5" bestFit="1" customWidth="1"/>
    <col min="8" max="10" width="5.5703125" bestFit="1" customWidth="1"/>
    <col min="11" max="11" width="11.5703125" bestFit="1" customWidth="1"/>
    <col min="12" max="13" width="5.5703125" bestFit="1" customWidth="1"/>
  </cols>
  <sheetData>
    <row r="1" spans="1:13">
      <c r="A1" s="193" t="s">
        <v>342</v>
      </c>
      <c r="B1" s="195" t="s">
        <v>433</v>
      </c>
      <c r="C1" s="196"/>
      <c r="D1" s="197"/>
      <c r="E1" s="195" t="s">
        <v>434</v>
      </c>
      <c r="F1" s="196"/>
      <c r="G1" s="198"/>
      <c r="H1" s="195" t="s">
        <v>435</v>
      </c>
      <c r="I1" s="196"/>
      <c r="J1" s="197"/>
      <c r="K1" s="195" t="s">
        <v>444</v>
      </c>
      <c r="L1" s="196"/>
      <c r="M1" s="197"/>
    </row>
    <row r="2" spans="1:13">
      <c r="A2" s="194"/>
      <c r="B2" s="137" t="s">
        <v>180</v>
      </c>
      <c r="C2" s="138" t="s">
        <v>181</v>
      </c>
      <c r="D2" s="137" t="s">
        <v>182</v>
      </c>
      <c r="E2" s="137" t="s">
        <v>180</v>
      </c>
      <c r="F2" s="139" t="s">
        <v>181</v>
      </c>
      <c r="G2" s="137" t="s">
        <v>182</v>
      </c>
      <c r="H2" s="138" t="s">
        <v>183</v>
      </c>
      <c r="I2" s="138" t="s">
        <v>181</v>
      </c>
      <c r="J2" s="137" t="s">
        <v>182</v>
      </c>
      <c r="K2" s="138" t="s">
        <v>183</v>
      </c>
      <c r="L2" s="138" t="s">
        <v>181</v>
      </c>
      <c r="M2" s="137" t="s">
        <v>182</v>
      </c>
    </row>
    <row r="3" spans="1:13">
      <c r="A3" s="87">
        <v>1</v>
      </c>
      <c r="B3" s="140">
        <v>2.274635</v>
      </c>
      <c r="C3" s="140">
        <v>3.0999950000000003</v>
      </c>
      <c r="D3" s="140">
        <v>2.7799299999999998</v>
      </c>
      <c r="E3" s="140">
        <v>7.57</v>
      </c>
      <c r="F3" s="140">
        <v>6.09</v>
      </c>
      <c r="G3" s="141">
        <v>8.31</v>
      </c>
      <c r="H3" s="142">
        <v>84.97</v>
      </c>
      <c r="I3" s="142">
        <v>74.040000000000006</v>
      </c>
      <c r="J3" s="142">
        <v>69.22</v>
      </c>
      <c r="K3" s="142">
        <v>11.224570673712021</v>
      </c>
      <c r="L3" s="142">
        <v>12.157635467980297</v>
      </c>
      <c r="M3" s="142">
        <v>8.329723225030083</v>
      </c>
    </row>
    <row r="4" spans="1:13">
      <c r="A4" s="87">
        <v>2</v>
      </c>
      <c r="B4" s="140">
        <v>4.3073549999999994</v>
      </c>
      <c r="C4" s="140">
        <v>3.0472699999999997</v>
      </c>
      <c r="D4" s="140">
        <v>3.5954374999999996</v>
      </c>
      <c r="E4" s="140">
        <v>3.61</v>
      </c>
      <c r="F4" s="140">
        <v>6.6</v>
      </c>
      <c r="G4" s="140">
        <v>6.26</v>
      </c>
      <c r="H4" s="142">
        <v>50.35</v>
      </c>
      <c r="I4" s="142">
        <v>69.88</v>
      </c>
      <c r="J4" s="142">
        <v>68.94</v>
      </c>
      <c r="K4" s="142">
        <v>13.947368421052632</v>
      </c>
      <c r="L4" s="142">
        <v>10.587878787878788</v>
      </c>
      <c r="M4" s="142">
        <v>11.012779552715655</v>
      </c>
    </row>
    <row r="5" spans="1:13">
      <c r="A5" s="87">
        <v>3</v>
      </c>
      <c r="B5" s="140">
        <v>3.7015199999999995</v>
      </c>
      <c r="C5" s="140">
        <v>3.4022825000000001</v>
      </c>
      <c r="D5" s="140">
        <v>3.3992374999999995</v>
      </c>
      <c r="E5" s="140">
        <v>6.14</v>
      </c>
      <c r="F5" s="140">
        <v>7.65</v>
      </c>
      <c r="G5" s="140">
        <v>6.03</v>
      </c>
      <c r="H5" s="142">
        <v>60.3</v>
      </c>
      <c r="I5" s="142">
        <v>54.91</v>
      </c>
      <c r="J5" s="142">
        <v>63.26</v>
      </c>
      <c r="K5" s="142">
        <v>9.8208469055374596</v>
      </c>
      <c r="L5" s="142">
        <v>7.1777777777777771</v>
      </c>
      <c r="M5" s="142">
        <v>10.490878938640131</v>
      </c>
    </row>
    <row r="6" spans="1:13">
      <c r="A6" s="87">
        <v>4</v>
      </c>
      <c r="B6" s="140">
        <v>4.0732049999999997</v>
      </c>
      <c r="C6" s="140">
        <v>2.7436850000000002</v>
      </c>
      <c r="D6" s="140">
        <v>2.8375224999999991</v>
      </c>
      <c r="E6" s="140">
        <v>4.87</v>
      </c>
      <c r="F6" s="140">
        <v>6.99</v>
      </c>
      <c r="G6" s="140">
        <v>6.75</v>
      </c>
      <c r="H6" s="142">
        <v>59.18</v>
      </c>
      <c r="I6" s="142">
        <v>75.69</v>
      </c>
      <c r="J6" s="142">
        <v>75.489999999999995</v>
      </c>
      <c r="K6" s="142">
        <v>12.151950718685832</v>
      </c>
      <c r="L6" s="142">
        <v>10.828326180257511</v>
      </c>
      <c r="M6" s="142">
        <v>11.183703703703703</v>
      </c>
    </row>
    <row r="7" spans="1:13">
      <c r="A7" s="87">
        <v>5</v>
      </c>
      <c r="B7" s="140">
        <v>3.4373699999999996</v>
      </c>
      <c r="C7" s="140">
        <v>2.9693699999999992</v>
      </c>
      <c r="D7" s="140">
        <v>3.2117974999999999</v>
      </c>
      <c r="E7" s="140">
        <v>6.18</v>
      </c>
      <c r="F7" s="140">
        <v>8.32</v>
      </c>
      <c r="G7" s="140">
        <v>6.24</v>
      </c>
      <c r="H7" s="142">
        <v>46.81</v>
      </c>
      <c r="I7" s="142">
        <v>68.900000000000006</v>
      </c>
      <c r="J7" s="142">
        <v>67.069999999999993</v>
      </c>
      <c r="K7" s="142">
        <v>7.5744336569579298</v>
      </c>
      <c r="L7" s="142">
        <v>8.28125</v>
      </c>
      <c r="M7" s="142">
        <v>10.748397435897434</v>
      </c>
    </row>
    <row r="8" spans="1:13">
      <c r="A8" s="87">
        <v>6</v>
      </c>
      <c r="B8" s="140">
        <v>3.3232299999999997</v>
      </c>
      <c r="C8" s="140">
        <v>3.1775249999999997</v>
      </c>
      <c r="D8" s="140">
        <v>3.4866050000000004</v>
      </c>
      <c r="E8" s="140">
        <v>5.89</v>
      </c>
      <c r="F8" s="140">
        <v>7.49</v>
      </c>
      <c r="G8" s="140">
        <v>5.7</v>
      </c>
      <c r="H8" s="142">
        <v>45.23</v>
      </c>
      <c r="I8" s="142">
        <v>72.599999999999994</v>
      </c>
      <c r="J8" s="142">
        <v>76.27</v>
      </c>
      <c r="K8" s="142">
        <v>7.6791171477079798</v>
      </c>
      <c r="L8" s="142">
        <v>9.6929238985313741</v>
      </c>
      <c r="M8" s="142">
        <v>13.380701754385964</v>
      </c>
    </row>
    <row r="9" spans="1:13">
      <c r="A9" s="87">
        <v>7</v>
      </c>
      <c r="B9" s="140">
        <v>3.3761749999999999</v>
      </c>
      <c r="C9" s="140">
        <v>3.5414849999999998</v>
      </c>
      <c r="D9" s="140">
        <v>2.3268174999999993</v>
      </c>
      <c r="E9" s="140">
        <v>7.94</v>
      </c>
      <c r="F9" s="140">
        <v>6.5</v>
      </c>
      <c r="G9" s="140">
        <v>5.59</v>
      </c>
      <c r="H9" s="142">
        <v>61.51</v>
      </c>
      <c r="I9" s="142">
        <v>64.13</v>
      </c>
      <c r="J9" s="142">
        <v>69.709999999999994</v>
      </c>
      <c r="K9" s="142">
        <v>7.7468513853904275</v>
      </c>
      <c r="L9" s="142">
        <v>9.8661538461538463</v>
      </c>
      <c r="M9" s="142">
        <v>12.470483005366725</v>
      </c>
    </row>
    <row r="10" spans="1:13">
      <c r="A10" s="87">
        <v>8</v>
      </c>
      <c r="B10" s="140">
        <v>2.7505574999999998</v>
      </c>
      <c r="C10" s="140">
        <v>3.0162299999999997</v>
      </c>
      <c r="D10" s="140">
        <v>2.4624924999999993</v>
      </c>
      <c r="E10" s="140">
        <v>6.49</v>
      </c>
      <c r="F10" s="140">
        <v>9.0299999999999994</v>
      </c>
      <c r="G10" s="140">
        <v>5.99</v>
      </c>
      <c r="H10" s="142">
        <v>64.209999999999994</v>
      </c>
      <c r="I10" s="142">
        <v>79.69</v>
      </c>
      <c r="J10" s="142">
        <v>76.62</v>
      </c>
      <c r="K10" s="142">
        <v>9.8936825885978408</v>
      </c>
      <c r="L10" s="142">
        <v>8.8250276854928025</v>
      </c>
      <c r="M10" s="142">
        <v>12.791318864774624</v>
      </c>
    </row>
    <row r="11" spans="1:13">
      <c r="A11" s="87">
        <v>9</v>
      </c>
      <c r="B11" s="140">
        <v>3.6647974999999997</v>
      </c>
      <c r="C11" s="140">
        <v>3.9448049999999992</v>
      </c>
      <c r="D11" s="140">
        <v>3.120495</v>
      </c>
      <c r="E11" s="140">
        <v>8.34</v>
      </c>
      <c r="F11" s="140">
        <v>8.44</v>
      </c>
      <c r="G11" s="140">
        <v>5.77</v>
      </c>
      <c r="H11" s="142">
        <v>67.25</v>
      </c>
      <c r="I11" s="142">
        <v>64.03</v>
      </c>
      <c r="J11" s="142">
        <v>67.3</v>
      </c>
      <c r="K11" s="142">
        <v>8.0635491606714638</v>
      </c>
      <c r="L11" s="142">
        <v>7.5864928909952614</v>
      </c>
      <c r="M11" s="142">
        <v>11.663778162911612</v>
      </c>
    </row>
    <row r="12" spans="1:13">
      <c r="A12" s="87">
        <v>10</v>
      </c>
      <c r="B12" s="140">
        <v>2.6302474999999994</v>
      </c>
      <c r="C12" s="140">
        <v>2.9424849999999996</v>
      </c>
      <c r="D12" s="140">
        <v>2.7280199999999999</v>
      </c>
      <c r="E12" s="140">
        <v>6.35</v>
      </c>
      <c r="F12" s="140">
        <v>5.51</v>
      </c>
      <c r="G12" s="140">
        <v>5.47</v>
      </c>
      <c r="H12" s="142">
        <v>51.21</v>
      </c>
      <c r="I12" s="142">
        <v>56.32</v>
      </c>
      <c r="J12" s="142">
        <v>65.48</v>
      </c>
      <c r="K12" s="142">
        <v>8.0645669291338589</v>
      </c>
      <c r="L12" s="142">
        <v>10.221415607985481</v>
      </c>
      <c r="M12" s="142">
        <v>11.97074954296161</v>
      </c>
    </row>
    <row r="13" spans="1:13">
      <c r="A13" t="s">
        <v>342</v>
      </c>
      <c r="B13" t="s">
        <v>433</v>
      </c>
      <c r="D13" t="s">
        <v>434</v>
      </c>
      <c r="F13" t="s">
        <v>435</v>
      </c>
      <c r="H13" t="s">
        <v>444</v>
      </c>
      <c r="J13" t="s">
        <v>445</v>
      </c>
    </row>
    <row r="14" spans="1:13">
      <c r="A14" s="19" t="s">
        <v>436</v>
      </c>
      <c r="B14" s="143">
        <v>2.7181866666666665</v>
      </c>
      <c r="C14" s="144">
        <v>0.24025261830577063</v>
      </c>
      <c r="D14" s="145">
        <v>7.3233333333333333</v>
      </c>
      <c r="E14" s="145">
        <v>0.65261865672926855</v>
      </c>
      <c r="F14" s="145">
        <v>76.076666666666668</v>
      </c>
      <c r="G14" s="145">
        <v>4.659278675694166</v>
      </c>
      <c r="H14" s="145">
        <v>10.570643122240801</v>
      </c>
      <c r="I14" s="145">
        <v>1.1523807193316389</v>
      </c>
      <c r="J14">
        <v>5.6773333333333333</v>
      </c>
      <c r="K14">
        <v>0.17486502731471715</v>
      </c>
    </row>
    <row r="15" spans="1:13">
      <c r="A15" t="s">
        <v>437</v>
      </c>
      <c r="B15" s="143">
        <v>3.6500208333333326</v>
      </c>
      <c r="C15" s="144">
        <v>0.36477758383915143</v>
      </c>
      <c r="D15" s="145">
        <v>5.4899999999999993</v>
      </c>
      <c r="E15" s="145">
        <v>0.94511022284881396</v>
      </c>
      <c r="F15" s="145">
        <v>63.056666666666665</v>
      </c>
      <c r="G15" s="145">
        <v>6.3591255513456986</v>
      </c>
      <c r="H15" s="145">
        <v>11.849342253882357</v>
      </c>
      <c r="I15" s="145">
        <v>1.0561597911913643</v>
      </c>
      <c r="J15">
        <v>4.0426666666666664</v>
      </c>
      <c r="K15">
        <v>0.3048263622312099</v>
      </c>
    </row>
    <row r="16" spans="1:13">
      <c r="A16" s="19" t="s">
        <v>438</v>
      </c>
      <c r="B16" s="143">
        <v>3.2181374999999997</v>
      </c>
      <c r="C16" s="144">
        <v>0.42839105626703233</v>
      </c>
      <c r="D16" s="145">
        <v>6.2033333333333331</v>
      </c>
      <c r="E16" s="145">
        <v>0.67025699880303069</v>
      </c>
      <c r="F16" s="145">
        <v>70.12</v>
      </c>
      <c r="G16" s="145">
        <v>5.4703046837751987</v>
      </c>
      <c r="H16" s="145">
        <v>11.387993534215681</v>
      </c>
      <c r="I16" s="145">
        <v>0.39551495160122663</v>
      </c>
      <c r="J16">
        <v>5.2359999999999998</v>
      </c>
      <c r="K16">
        <v>0.57047816201265489</v>
      </c>
    </row>
    <row r="17" spans="1:11">
      <c r="A17" t="s">
        <v>439</v>
      </c>
      <c r="B17" s="143">
        <v>3.2061791666666664</v>
      </c>
      <c r="C17" s="144">
        <v>0.1351291656799565</v>
      </c>
      <c r="D17" s="145">
        <v>6.913333333333334</v>
      </c>
      <c r="E17" s="145">
        <v>0.70354657115060759</v>
      </c>
      <c r="F17" s="145">
        <v>60.926666666666669</v>
      </c>
      <c r="G17" s="145">
        <v>7.0780749109093497</v>
      </c>
      <c r="H17" s="145">
        <v>8.8680270309517883</v>
      </c>
      <c r="I17" s="145">
        <v>0.96207102657832722</v>
      </c>
      <c r="J17">
        <v>2.9319999999999999</v>
      </c>
      <c r="K17">
        <v>0.40366983208227764</v>
      </c>
    </row>
    <row r="18" spans="1:11">
      <c r="A18" t="s">
        <v>440</v>
      </c>
      <c r="B18" s="143">
        <v>3.3291200000000001</v>
      </c>
      <c r="C18" s="144">
        <v>8.9272300061843349E-2</v>
      </c>
      <c r="D18" s="145">
        <v>6.3599999999999994</v>
      </c>
      <c r="E18" s="145">
        <v>0.56765599911684106</v>
      </c>
      <c r="F18" s="145">
        <v>64.699999999999989</v>
      </c>
      <c r="G18" s="145">
        <v>9.7924784060693</v>
      </c>
      <c r="H18" s="145">
        <v>10.250914266875105</v>
      </c>
      <c r="I18" s="145">
        <v>1.6693842872099225</v>
      </c>
      <c r="J18">
        <v>4.8866666666666667</v>
      </c>
      <c r="K18">
        <v>0.40252756979422261</v>
      </c>
    </row>
    <row r="19" spans="1:11">
      <c r="A19" s="19" t="s">
        <v>441</v>
      </c>
      <c r="B19" s="143">
        <v>3.0814924999999995</v>
      </c>
      <c r="C19" s="144">
        <v>0.38034309762973717</v>
      </c>
      <c r="D19" s="145">
        <v>6.6766666666666667</v>
      </c>
      <c r="E19" s="145">
        <v>0.68411337591886456</v>
      </c>
      <c r="F19" s="145">
        <v>65.11666666666666</v>
      </c>
      <c r="G19" s="145">
        <v>2.4179973348024175</v>
      </c>
      <c r="H19" s="145">
        <v>10.027829412303667</v>
      </c>
      <c r="I19" s="145">
        <v>1.3659890387343689</v>
      </c>
      <c r="J19">
        <v>5.3359999999999994</v>
      </c>
      <c r="K19">
        <v>0.19137397942249348</v>
      </c>
    </row>
    <row r="20" spans="1:11">
      <c r="A20" t="s">
        <v>442</v>
      </c>
      <c r="B20" s="143">
        <v>3.5766991666666663</v>
      </c>
      <c r="C20" s="144">
        <v>0.242000503633827</v>
      </c>
      <c r="D20" s="145">
        <v>7.5166666666666666</v>
      </c>
      <c r="E20" s="145">
        <v>0.87381030232221424</v>
      </c>
      <c r="F20" s="145">
        <v>66.193333333333328</v>
      </c>
      <c r="G20" s="145">
        <v>1.0817629643833295</v>
      </c>
      <c r="H20" s="145">
        <v>9.1046067381927784</v>
      </c>
      <c r="I20" s="145">
        <v>1.286975065406269</v>
      </c>
      <c r="J20">
        <v>3.3933333333333331</v>
      </c>
      <c r="K20">
        <v>0.46008308428418143</v>
      </c>
    </row>
    <row r="21" spans="1:11">
      <c r="A21" t="s">
        <v>443</v>
      </c>
      <c r="B21" s="143">
        <v>2.7669174999999995</v>
      </c>
      <c r="C21" s="144">
        <v>9.2209590483223858E-2</v>
      </c>
      <c r="D21" s="145">
        <v>5.7766666666666664</v>
      </c>
      <c r="E21" s="145">
        <v>0.28689913055134042</v>
      </c>
      <c r="F21" s="145">
        <v>57.669999999999995</v>
      </c>
      <c r="G21" s="145">
        <v>4.1743302856067324</v>
      </c>
      <c r="H21" s="145">
        <v>10.085577360026983</v>
      </c>
      <c r="I21" s="145">
        <v>1.1296614058128036</v>
      </c>
      <c r="J21">
        <v>2.86</v>
      </c>
      <c r="K21">
        <v>0.12477179168385789</v>
      </c>
    </row>
    <row r="22" spans="1:11">
      <c r="A22" t="s">
        <v>36</v>
      </c>
      <c r="C22" t="s">
        <v>180</v>
      </c>
      <c r="D22" t="s">
        <v>177</v>
      </c>
      <c r="E22" t="s">
        <v>363</v>
      </c>
      <c r="F22" t="s">
        <v>269</v>
      </c>
    </row>
    <row r="23" spans="1:11">
      <c r="A23">
        <v>1</v>
      </c>
      <c r="B23" t="s">
        <v>436</v>
      </c>
      <c r="C23" s="150">
        <v>2772</v>
      </c>
      <c r="D23" s="151">
        <v>2732</v>
      </c>
      <c r="E23" s="152">
        <v>3012</v>
      </c>
      <c r="F23" s="71">
        <f>AVERAGE(C23:E23)</f>
        <v>2838.6666666666665</v>
      </c>
    </row>
    <row r="24" spans="1:11">
      <c r="A24">
        <v>2</v>
      </c>
      <c r="B24" t="s">
        <v>449</v>
      </c>
      <c r="C24" s="150">
        <v>1778</v>
      </c>
      <c r="D24" s="151">
        <v>1984</v>
      </c>
      <c r="E24" s="152">
        <v>2302</v>
      </c>
      <c r="F24" s="71">
        <f t="shared" ref="F24:F32" si="0">AVERAGE(C24:E24)</f>
        <v>2021.3333333333333</v>
      </c>
    </row>
    <row r="25" spans="1:11">
      <c r="A25">
        <v>3</v>
      </c>
      <c r="B25" t="s">
        <v>436</v>
      </c>
      <c r="C25" s="150">
        <v>2874</v>
      </c>
      <c r="D25" s="151">
        <v>2698</v>
      </c>
      <c r="E25" s="152">
        <v>3154</v>
      </c>
      <c r="F25" s="71">
        <f t="shared" si="0"/>
        <v>2908.6666666666665</v>
      </c>
    </row>
    <row r="26" spans="1:11">
      <c r="A26">
        <v>4</v>
      </c>
      <c r="B26" t="s">
        <v>438</v>
      </c>
      <c r="C26" s="150">
        <v>2288</v>
      </c>
      <c r="D26" s="151">
        <v>2380</v>
      </c>
      <c r="E26" s="152">
        <v>3186</v>
      </c>
      <c r="F26" s="71">
        <f t="shared" si="0"/>
        <v>2618</v>
      </c>
    </row>
    <row r="27" spans="1:11">
      <c r="A27">
        <v>5</v>
      </c>
      <c r="B27" t="s">
        <v>439</v>
      </c>
      <c r="C27" s="150">
        <v>1084</v>
      </c>
      <c r="D27" s="151">
        <v>1544</v>
      </c>
      <c r="E27" s="152">
        <v>1770</v>
      </c>
      <c r="F27" s="71">
        <f t="shared" si="0"/>
        <v>1466</v>
      </c>
    </row>
    <row r="28" spans="1:11">
      <c r="A28">
        <v>6</v>
      </c>
      <c r="B28" t="s">
        <v>440</v>
      </c>
      <c r="C28" s="150">
        <v>2164</v>
      </c>
      <c r="D28" s="151">
        <v>2332</v>
      </c>
      <c r="E28" s="152">
        <v>2834</v>
      </c>
      <c r="F28" s="71">
        <f t="shared" si="0"/>
        <v>2443.3333333333335</v>
      </c>
    </row>
    <row r="29" spans="1:11">
      <c r="A29">
        <v>7</v>
      </c>
      <c r="B29" t="s">
        <v>441</v>
      </c>
      <c r="C29" s="150">
        <v>2512</v>
      </c>
      <c r="D29" s="151">
        <v>2650</v>
      </c>
      <c r="E29" s="152">
        <v>2842</v>
      </c>
      <c r="F29" s="71">
        <f t="shared" si="0"/>
        <v>2668</v>
      </c>
    </row>
    <row r="30" spans="1:11">
      <c r="A30">
        <v>8</v>
      </c>
      <c r="B30" t="s">
        <v>449</v>
      </c>
      <c r="C30" s="150">
        <v>1692</v>
      </c>
      <c r="D30" s="151">
        <v>1546</v>
      </c>
      <c r="E30" s="152">
        <v>2100</v>
      </c>
      <c r="F30" s="71">
        <f t="shared" si="0"/>
        <v>1779.3333333333333</v>
      </c>
    </row>
    <row r="31" spans="1:11">
      <c r="A31">
        <v>9</v>
      </c>
      <c r="B31" t="s">
        <v>442</v>
      </c>
      <c r="C31" s="150">
        <v>1538</v>
      </c>
      <c r="D31" s="151">
        <v>1402</v>
      </c>
      <c r="E31" s="152">
        <v>2150</v>
      </c>
      <c r="F31" s="71">
        <f t="shared" si="0"/>
        <v>1696.6666666666667</v>
      </c>
    </row>
    <row r="32" spans="1:11">
      <c r="A32">
        <v>10</v>
      </c>
      <c r="B32" t="s">
        <v>443</v>
      </c>
      <c r="C32" s="150">
        <v>1306</v>
      </c>
      <c r="D32" s="151">
        <v>1504</v>
      </c>
      <c r="E32" s="152">
        <v>1480</v>
      </c>
      <c r="F32" s="71">
        <f t="shared" si="0"/>
        <v>1430</v>
      </c>
    </row>
    <row r="34" spans="3:5">
      <c r="C34">
        <f>C23/500</f>
        <v>5.5439999999999996</v>
      </c>
      <c r="D34">
        <f>D23/500</f>
        <v>5.4640000000000004</v>
      </c>
      <c r="E34">
        <f>E23/500</f>
        <v>6.024</v>
      </c>
    </row>
    <row r="35" spans="3:5">
      <c r="C35">
        <f t="shared" ref="C35:E35" si="1">C24/500</f>
        <v>3.556</v>
      </c>
      <c r="D35">
        <f t="shared" si="1"/>
        <v>3.968</v>
      </c>
      <c r="E35">
        <f t="shared" si="1"/>
        <v>4.6040000000000001</v>
      </c>
    </row>
    <row r="36" spans="3:5">
      <c r="C36">
        <f t="shared" ref="C36:E36" si="2">C25/500</f>
        <v>5.7480000000000002</v>
      </c>
      <c r="D36">
        <f t="shared" si="2"/>
        <v>5.3959999999999999</v>
      </c>
      <c r="E36">
        <f t="shared" si="2"/>
        <v>6.3079999999999998</v>
      </c>
    </row>
    <row r="37" spans="3:5">
      <c r="C37">
        <f t="shared" ref="C37:E37" si="3">C26/500</f>
        <v>4.5759999999999996</v>
      </c>
      <c r="D37">
        <f t="shared" si="3"/>
        <v>4.76</v>
      </c>
      <c r="E37">
        <f t="shared" si="3"/>
        <v>6.3719999999999999</v>
      </c>
    </row>
    <row r="38" spans="3:5">
      <c r="C38">
        <f t="shared" ref="C38:E38" si="4">C27/500</f>
        <v>2.1680000000000001</v>
      </c>
      <c r="D38">
        <f t="shared" si="4"/>
        <v>3.0880000000000001</v>
      </c>
      <c r="E38">
        <f t="shared" si="4"/>
        <v>3.54</v>
      </c>
    </row>
    <row r="39" spans="3:5">
      <c r="C39">
        <f t="shared" ref="C39:E39" si="5">C28/500</f>
        <v>4.3280000000000003</v>
      </c>
      <c r="D39">
        <f t="shared" si="5"/>
        <v>4.6639999999999997</v>
      </c>
      <c r="E39">
        <f t="shared" si="5"/>
        <v>5.6680000000000001</v>
      </c>
    </row>
    <row r="40" spans="3:5">
      <c r="C40">
        <f t="shared" ref="C40:E40" si="6">C29/500</f>
        <v>5.024</v>
      </c>
      <c r="D40">
        <f t="shared" si="6"/>
        <v>5.3</v>
      </c>
      <c r="E40">
        <f t="shared" si="6"/>
        <v>5.6840000000000002</v>
      </c>
    </row>
    <row r="41" spans="3:5">
      <c r="C41">
        <f t="shared" ref="C41:E41" si="7">C30/500</f>
        <v>3.3839999999999999</v>
      </c>
      <c r="D41">
        <f t="shared" si="7"/>
        <v>3.0920000000000001</v>
      </c>
      <c r="E41">
        <f t="shared" si="7"/>
        <v>4.2</v>
      </c>
    </row>
    <row r="42" spans="3:5">
      <c r="C42">
        <f t="shared" ref="C42:E42" si="8">C31/500</f>
        <v>3.0760000000000001</v>
      </c>
      <c r="D42">
        <f t="shared" si="8"/>
        <v>2.8039999999999998</v>
      </c>
      <c r="E42">
        <f t="shared" si="8"/>
        <v>4.3</v>
      </c>
    </row>
    <row r="43" spans="3:5">
      <c r="C43">
        <f t="shared" ref="C43:E43" si="9">C32/500</f>
        <v>2.6120000000000001</v>
      </c>
      <c r="D43">
        <f t="shared" si="9"/>
        <v>3.008</v>
      </c>
      <c r="E43">
        <f t="shared" si="9"/>
        <v>2.96</v>
      </c>
    </row>
  </sheetData>
  <mergeCells count="5">
    <mergeCell ref="A1:A2"/>
    <mergeCell ref="B1:D1"/>
    <mergeCell ref="E1:G1"/>
    <mergeCell ref="H1:J1"/>
    <mergeCell ref="K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11"/>
  <sheetViews>
    <sheetView workbookViewId="0">
      <selection activeCell="H18" sqref="H18"/>
    </sheetView>
  </sheetViews>
  <sheetFormatPr defaultRowHeight="15"/>
  <cols>
    <col min="15" max="15" width="13.85546875" bestFit="1" customWidth="1"/>
  </cols>
  <sheetData>
    <row r="1" spans="1:15">
      <c r="A1" t="s">
        <v>22</v>
      </c>
      <c r="B1" t="s">
        <v>94</v>
      </c>
      <c r="C1" t="s">
        <v>19</v>
      </c>
      <c r="D1" t="s">
        <v>20</v>
      </c>
      <c r="E1" t="s">
        <v>21</v>
      </c>
      <c r="F1" t="s">
        <v>23</v>
      </c>
      <c r="G1" t="s">
        <v>24</v>
      </c>
      <c r="H1" t="s">
        <v>63</v>
      </c>
      <c r="I1" t="s">
        <v>64</v>
      </c>
      <c r="J1" t="s">
        <v>106</v>
      </c>
      <c r="K1" t="s">
        <v>66</v>
      </c>
      <c r="L1" t="s">
        <v>67</v>
      </c>
      <c r="M1" t="s">
        <v>124</v>
      </c>
      <c r="N1" t="s">
        <v>125</v>
      </c>
      <c r="O1" t="s">
        <v>271</v>
      </c>
    </row>
    <row r="2" spans="1:15">
      <c r="A2" s="5" t="s">
        <v>86</v>
      </c>
      <c r="B2" s="6" t="s">
        <v>95</v>
      </c>
      <c r="C2">
        <v>1.04</v>
      </c>
      <c r="D2">
        <v>0.89</v>
      </c>
      <c r="E2">
        <v>0.87</v>
      </c>
      <c r="F2">
        <v>1.1000000000000001</v>
      </c>
      <c r="G2">
        <v>0.94</v>
      </c>
      <c r="H2">
        <v>0.23200000000000001</v>
      </c>
      <c r="I2">
        <v>0.56899999999999995</v>
      </c>
      <c r="J2">
        <v>1.1562224999999999</v>
      </c>
      <c r="K2">
        <v>0.82527749999999978</v>
      </c>
      <c r="L2">
        <v>0.33123500000000006</v>
      </c>
      <c r="M2">
        <v>21.15</v>
      </c>
      <c r="N2">
        <v>30.37</v>
      </c>
      <c r="O2" s="50">
        <v>4692</v>
      </c>
    </row>
    <row r="3" spans="1:15">
      <c r="A3" s="5" t="s">
        <v>87</v>
      </c>
      <c r="B3" s="6" t="s">
        <v>96</v>
      </c>
      <c r="C3">
        <v>1.28</v>
      </c>
      <c r="D3">
        <v>1.04</v>
      </c>
      <c r="E3">
        <v>1.1399999999999999</v>
      </c>
      <c r="F3">
        <v>0.89</v>
      </c>
      <c r="G3">
        <v>0.77</v>
      </c>
      <c r="H3">
        <v>0.25600000000000001</v>
      </c>
      <c r="I3">
        <v>0.58499999999999996</v>
      </c>
      <c r="J3">
        <v>1.2328625</v>
      </c>
      <c r="K3">
        <v>0.84260749999999973</v>
      </c>
      <c r="L3">
        <v>0.39057500000000001</v>
      </c>
      <c r="M3">
        <v>17.22</v>
      </c>
      <c r="N3">
        <v>32.700000000000003</v>
      </c>
      <c r="O3" s="50">
        <v>4570</v>
      </c>
    </row>
    <row r="4" spans="1:15">
      <c r="A4" s="5" t="s">
        <v>88</v>
      </c>
      <c r="B4" s="6" t="s">
        <v>95</v>
      </c>
      <c r="C4">
        <v>1.63</v>
      </c>
      <c r="D4">
        <v>1.19</v>
      </c>
      <c r="E4">
        <v>1.3</v>
      </c>
      <c r="F4">
        <v>1.6</v>
      </c>
      <c r="G4">
        <v>0.97</v>
      </c>
      <c r="H4">
        <v>0.33300000000000002</v>
      </c>
      <c r="I4">
        <v>0.71199999999999997</v>
      </c>
      <c r="J4">
        <v>1.554605</v>
      </c>
      <c r="K4">
        <v>1.0183287499999998</v>
      </c>
      <c r="L4">
        <v>0.53669250000000002</v>
      </c>
      <c r="M4">
        <v>14.52</v>
      </c>
      <c r="N4">
        <v>34.869999999999997</v>
      </c>
      <c r="O4" s="50">
        <v>6898</v>
      </c>
    </row>
    <row r="5" spans="1:15">
      <c r="A5" s="5" t="s">
        <v>89</v>
      </c>
      <c r="B5" s="6" t="s">
        <v>97</v>
      </c>
      <c r="C5">
        <v>0.99</v>
      </c>
      <c r="D5">
        <v>1.0900000000000001</v>
      </c>
      <c r="E5">
        <v>1.42</v>
      </c>
      <c r="F5">
        <v>1.1599999999999999</v>
      </c>
      <c r="G5">
        <v>1.2</v>
      </c>
      <c r="H5">
        <v>0.245</v>
      </c>
      <c r="I5">
        <v>0.65</v>
      </c>
      <c r="J5">
        <v>1.2702499999999999</v>
      </c>
      <c r="K5">
        <v>0.9494937499999998</v>
      </c>
      <c r="L5">
        <v>0.32106249999999986</v>
      </c>
      <c r="M5">
        <v>23.35</v>
      </c>
      <c r="N5">
        <v>38.090000000000003</v>
      </c>
      <c r="O5" s="50">
        <v>8080</v>
      </c>
    </row>
    <row r="6" spans="1:15">
      <c r="A6" s="5" t="s">
        <v>90</v>
      </c>
      <c r="B6" s="6" t="s">
        <v>98</v>
      </c>
      <c r="C6">
        <v>1.55</v>
      </c>
      <c r="D6">
        <v>0.9</v>
      </c>
      <c r="E6">
        <v>1.36</v>
      </c>
      <c r="F6">
        <v>1.03</v>
      </c>
      <c r="G6">
        <v>1.04</v>
      </c>
      <c r="H6">
        <v>0.32100000000000001</v>
      </c>
      <c r="I6">
        <v>0.58699999999999997</v>
      </c>
      <c r="J6">
        <v>1.3989924999999999</v>
      </c>
      <c r="K6">
        <v>0.82392624999999997</v>
      </c>
      <c r="L6">
        <v>0.57546750000000002</v>
      </c>
      <c r="M6">
        <v>20.309999999999999</v>
      </c>
      <c r="N6">
        <v>34.020000000000003</v>
      </c>
      <c r="O6" s="50">
        <v>8270</v>
      </c>
    </row>
    <row r="7" spans="1:15">
      <c r="A7" s="5" t="s">
        <v>91</v>
      </c>
      <c r="B7" s="6" t="s">
        <v>99</v>
      </c>
      <c r="C7">
        <v>1.37</v>
      </c>
      <c r="D7">
        <v>1.1299999999999999</v>
      </c>
      <c r="E7">
        <v>1.43</v>
      </c>
      <c r="F7">
        <v>1.27</v>
      </c>
      <c r="G7">
        <v>1.34</v>
      </c>
      <c r="H7">
        <v>0.245</v>
      </c>
      <c r="I7">
        <v>0.51200000000000001</v>
      </c>
      <c r="J7">
        <v>1.1319049999999999</v>
      </c>
      <c r="K7">
        <v>0.73041875000000001</v>
      </c>
      <c r="L7">
        <v>0.40179249999999983</v>
      </c>
      <c r="M7">
        <v>26.63</v>
      </c>
      <c r="N7">
        <v>32.549999999999997</v>
      </c>
      <c r="O7" s="50">
        <v>5006</v>
      </c>
    </row>
    <row r="8" spans="1:15">
      <c r="A8" s="5" t="s">
        <v>92</v>
      </c>
      <c r="B8" s="6" t="s">
        <v>100</v>
      </c>
      <c r="C8">
        <v>1.56</v>
      </c>
      <c r="D8">
        <v>1.57</v>
      </c>
      <c r="E8">
        <v>1.51</v>
      </c>
      <c r="F8">
        <v>1.29</v>
      </c>
      <c r="G8">
        <v>1.28</v>
      </c>
      <c r="H8">
        <v>0.28499999999999998</v>
      </c>
      <c r="I8">
        <v>0.71499999999999997</v>
      </c>
      <c r="J8">
        <v>1.4364124999999999</v>
      </c>
      <c r="K8">
        <v>1.0392312499999998</v>
      </c>
      <c r="L8">
        <v>0.39753749999999988</v>
      </c>
      <c r="M8">
        <v>26.13</v>
      </c>
      <c r="N8">
        <v>37.799999999999997</v>
      </c>
      <c r="O8" s="50">
        <v>5898</v>
      </c>
    </row>
    <row r="9" spans="1:15">
      <c r="A9" s="5" t="s">
        <v>103</v>
      </c>
      <c r="B9" s="6" t="s">
        <v>102</v>
      </c>
      <c r="C9">
        <v>1.2</v>
      </c>
      <c r="D9">
        <v>1.53</v>
      </c>
      <c r="E9">
        <v>1.44</v>
      </c>
      <c r="F9">
        <v>1.53</v>
      </c>
      <c r="G9">
        <v>1.45</v>
      </c>
      <c r="H9">
        <v>0.30399999999999999</v>
      </c>
      <c r="I9">
        <v>0.66800000000000004</v>
      </c>
      <c r="J9">
        <v>1.4372699999999996</v>
      </c>
      <c r="K9">
        <v>0.95822999999999992</v>
      </c>
      <c r="L9">
        <v>0.4794199999999999</v>
      </c>
      <c r="M9">
        <v>13.26</v>
      </c>
      <c r="N9">
        <v>59.32</v>
      </c>
      <c r="O9" s="50">
        <v>4476</v>
      </c>
    </row>
    <row r="10" spans="1:15">
      <c r="A10" s="5" t="s">
        <v>104</v>
      </c>
      <c r="B10" s="6" t="s">
        <v>101</v>
      </c>
      <c r="C10">
        <v>1</v>
      </c>
      <c r="D10">
        <v>1.01</v>
      </c>
      <c r="E10">
        <v>0.93</v>
      </c>
      <c r="F10">
        <v>0.79</v>
      </c>
      <c r="G10">
        <v>0.99</v>
      </c>
      <c r="H10">
        <v>0.27800000000000002</v>
      </c>
      <c r="I10">
        <v>0.624</v>
      </c>
      <c r="J10">
        <v>1.3275100000000002</v>
      </c>
      <c r="K10">
        <v>0.89712249999999993</v>
      </c>
      <c r="L10">
        <v>0.43073499999999998</v>
      </c>
      <c r="M10">
        <v>24.31</v>
      </c>
      <c r="N10">
        <v>36.020000000000003</v>
      </c>
      <c r="O10" s="50">
        <v>10154</v>
      </c>
    </row>
    <row r="11" spans="1:15">
      <c r="A11" s="5" t="s">
        <v>93</v>
      </c>
      <c r="B11" s="6" t="s">
        <v>105</v>
      </c>
      <c r="C11">
        <v>1.35</v>
      </c>
      <c r="D11">
        <v>1.25</v>
      </c>
      <c r="E11">
        <v>1.2</v>
      </c>
      <c r="F11">
        <v>1.47</v>
      </c>
      <c r="G11">
        <v>1.48</v>
      </c>
      <c r="H11">
        <v>0.34</v>
      </c>
      <c r="I11">
        <v>0.59599999999999997</v>
      </c>
      <c r="J11">
        <v>1.4559899999999997</v>
      </c>
      <c r="K11">
        <v>0.83182499999999993</v>
      </c>
      <c r="L11">
        <v>0.62459000000000009</v>
      </c>
      <c r="M11">
        <v>36.619999999999997</v>
      </c>
      <c r="N11">
        <v>32.369999999999997</v>
      </c>
      <c r="O11" s="50">
        <v>8710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N16"/>
  <sheetViews>
    <sheetView zoomScale="60" zoomScaleNormal="60" workbookViewId="0">
      <selection sqref="A1:N16"/>
    </sheetView>
  </sheetViews>
  <sheetFormatPr defaultRowHeight="15"/>
  <cols>
    <col min="2" max="2" width="9.7109375" bestFit="1" customWidth="1"/>
  </cols>
  <sheetData>
    <row r="1" spans="1:14">
      <c r="A1" t="s">
        <v>25</v>
      </c>
      <c r="B1" t="s">
        <v>111</v>
      </c>
      <c r="C1" t="s">
        <v>19</v>
      </c>
      <c r="D1" t="s">
        <v>20</v>
      </c>
      <c r="E1" t="s">
        <v>21</v>
      </c>
      <c r="F1" t="s">
        <v>63</v>
      </c>
      <c r="G1" t="s">
        <v>64</v>
      </c>
      <c r="H1" t="s">
        <v>106</v>
      </c>
      <c r="I1" t="s">
        <v>66</v>
      </c>
      <c r="J1" t="s">
        <v>67</v>
      </c>
      <c r="K1" t="s">
        <v>17</v>
      </c>
      <c r="L1" t="s">
        <v>16</v>
      </c>
      <c r="M1" t="s">
        <v>123</v>
      </c>
      <c r="N1" t="s">
        <v>18</v>
      </c>
    </row>
    <row r="2" spans="1:14">
      <c r="A2">
        <v>1</v>
      </c>
      <c r="B2" t="s">
        <v>112</v>
      </c>
      <c r="C2">
        <v>1.55</v>
      </c>
      <c r="D2">
        <v>1.62</v>
      </c>
      <c r="E2">
        <v>1.48</v>
      </c>
      <c r="F2">
        <v>0.48699999999999999</v>
      </c>
      <c r="G2">
        <v>0.73099999999999998</v>
      </c>
      <c r="H2">
        <v>1.9625024999999998</v>
      </c>
      <c r="I2">
        <v>0.99670874999999992</v>
      </c>
      <c r="J2">
        <v>0.96640249999999983</v>
      </c>
      <c r="K2" s="8">
        <v>16.3</v>
      </c>
      <c r="L2" s="8">
        <v>50.56</v>
      </c>
      <c r="M2" s="9">
        <v>98.1</v>
      </c>
      <c r="N2" s="9">
        <v>42.63</v>
      </c>
    </row>
    <row r="3" spans="1:14">
      <c r="A3">
        <v>2</v>
      </c>
      <c r="B3" t="s">
        <v>113</v>
      </c>
      <c r="C3">
        <v>1.47</v>
      </c>
      <c r="D3">
        <v>1.61</v>
      </c>
      <c r="E3">
        <v>1.83</v>
      </c>
      <c r="F3">
        <v>0.223</v>
      </c>
      <c r="G3">
        <v>0.57999999999999996</v>
      </c>
      <c r="H3">
        <v>1.1445249999999998</v>
      </c>
      <c r="I3">
        <v>0.84576624999999972</v>
      </c>
      <c r="J3">
        <v>0.29903750000000007</v>
      </c>
      <c r="K3" s="8">
        <v>32.76</v>
      </c>
      <c r="L3" s="8">
        <v>32.299999999999997</v>
      </c>
      <c r="M3" s="9">
        <v>56.98</v>
      </c>
      <c r="N3" s="9">
        <v>42.72</v>
      </c>
    </row>
    <row r="4" spans="1:14">
      <c r="A4">
        <v>3</v>
      </c>
      <c r="B4" t="s">
        <v>114</v>
      </c>
      <c r="C4">
        <v>1.77</v>
      </c>
      <c r="D4">
        <v>1.53</v>
      </c>
      <c r="E4">
        <v>1.55</v>
      </c>
      <c r="F4">
        <v>0.60399999999999998</v>
      </c>
      <c r="G4">
        <v>0.79900000000000004</v>
      </c>
      <c r="H4">
        <v>2.3260974999999999</v>
      </c>
      <c r="I4">
        <v>1.0653174999999999</v>
      </c>
      <c r="J4">
        <v>1.2615349999999996</v>
      </c>
      <c r="K4" s="8">
        <v>24.71</v>
      </c>
      <c r="L4" s="8">
        <v>42.53</v>
      </c>
      <c r="M4" s="9">
        <v>40.14</v>
      </c>
      <c r="N4" s="9">
        <v>58.61</v>
      </c>
    </row>
    <row r="5" spans="1:14">
      <c r="A5">
        <v>4</v>
      </c>
      <c r="B5" t="s">
        <v>115</v>
      </c>
      <c r="C5">
        <v>1.63</v>
      </c>
      <c r="D5">
        <v>1.51</v>
      </c>
      <c r="E5">
        <v>1.86</v>
      </c>
      <c r="F5">
        <v>0.59199999999999997</v>
      </c>
      <c r="G5">
        <v>0.82699999999999996</v>
      </c>
      <c r="H5">
        <v>2.3238675</v>
      </c>
      <c r="I5">
        <v>1.1138024999999996</v>
      </c>
      <c r="J5">
        <v>1.2108049999999997</v>
      </c>
      <c r="K5" s="8">
        <v>18.989999999999998</v>
      </c>
      <c r="L5" s="8">
        <v>42.82</v>
      </c>
      <c r="M5" s="9">
        <v>95.87</v>
      </c>
      <c r="N5" s="9">
        <v>51.69</v>
      </c>
    </row>
    <row r="6" spans="1:14">
      <c r="A6">
        <v>5</v>
      </c>
      <c r="B6" t="s">
        <v>116</v>
      </c>
      <c r="C6">
        <v>1.9</v>
      </c>
      <c r="D6">
        <v>1.45</v>
      </c>
      <c r="E6">
        <v>1.55</v>
      </c>
      <c r="F6">
        <v>0.438</v>
      </c>
      <c r="G6">
        <v>0.71199999999999997</v>
      </c>
      <c r="H6">
        <v>1.8197299999999998</v>
      </c>
      <c r="I6">
        <v>0.9830224999999998</v>
      </c>
      <c r="J6">
        <v>0.83725499999999975</v>
      </c>
      <c r="K6" s="8">
        <v>23.21</v>
      </c>
      <c r="L6" s="8">
        <v>39.72</v>
      </c>
      <c r="M6" s="9">
        <v>61.07</v>
      </c>
      <c r="N6" s="9">
        <v>56.64</v>
      </c>
    </row>
    <row r="7" spans="1:14">
      <c r="A7">
        <v>6</v>
      </c>
      <c r="B7" t="s">
        <v>107</v>
      </c>
      <c r="C7">
        <v>1.27</v>
      </c>
      <c r="D7">
        <v>1.2</v>
      </c>
      <c r="E7">
        <v>1.33</v>
      </c>
      <c r="F7">
        <v>0.33200000000000002</v>
      </c>
      <c r="G7">
        <v>0.51700000000000002</v>
      </c>
      <c r="H7">
        <v>1.3565925000000001</v>
      </c>
      <c r="I7">
        <v>0.70910249999999986</v>
      </c>
      <c r="J7">
        <v>0.64790500000000006</v>
      </c>
      <c r="K7" s="8">
        <v>22.93</v>
      </c>
      <c r="L7" s="8">
        <v>44.29</v>
      </c>
      <c r="M7" s="9">
        <v>68.38</v>
      </c>
      <c r="N7" s="9">
        <v>46.74</v>
      </c>
    </row>
    <row r="8" spans="1:14">
      <c r="A8">
        <v>7</v>
      </c>
      <c r="B8" t="s">
        <v>108</v>
      </c>
      <c r="C8">
        <v>1.82</v>
      </c>
      <c r="D8">
        <v>1.8</v>
      </c>
      <c r="E8">
        <v>1.4</v>
      </c>
      <c r="F8">
        <v>0.32700000000000001</v>
      </c>
      <c r="G8">
        <v>0.61799999999999999</v>
      </c>
      <c r="H8">
        <v>1.4452199999999997</v>
      </c>
      <c r="I8">
        <v>0.87112124999999996</v>
      </c>
      <c r="J8">
        <v>0.57450749999999995</v>
      </c>
      <c r="K8" s="8">
        <v>13.77</v>
      </c>
      <c r="L8" s="8">
        <v>54.82</v>
      </c>
      <c r="M8" s="9">
        <v>21.84</v>
      </c>
      <c r="N8" s="9">
        <v>80.78</v>
      </c>
    </row>
    <row r="9" spans="1:14">
      <c r="A9">
        <v>8</v>
      </c>
      <c r="B9" t="s">
        <v>117</v>
      </c>
      <c r="C9">
        <v>1.47</v>
      </c>
      <c r="D9">
        <v>1.49</v>
      </c>
      <c r="E9">
        <v>1.42</v>
      </c>
      <c r="F9">
        <v>0.33700000000000002</v>
      </c>
      <c r="G9">
        <v>0.65100000000000002</v>
      </c>
      <c r="H9">
        <v>1.5035525000000001</v>
      </c>
      <c r="I9">
        <v>0.92014624999999983</v>
      </c>
      <c r="J9">
        <v>0.58382749999999994</v>
      </c>
      <c r="K9" s="8">
        <v>20.68</v>
      </c>
      <c r="L9" s="8">
        <v>41.59</v>
      </c>
      <c r="M9" s="9">
        <v>46.58</v>
      </c>
      <c r="N9" s="9">
        <v>61.98</v>
      </c>
    </row>
    <row r="10" spans="1:14">
      <c r="A10">
        <v>9</v>
      </c>
      <c r="B10" t="s">
        <v>109</v>
      </c>
      <c r="C10">
        <v>1.33</v>
      </c>
      <c r="D10">
        <v>1.47</v>
      </c>
      <c r="E10">
        <v>1.32</v>
      </c>
      <c r="F10">
        <v>0.46899999999999997</v>
      </c>
      <c r="G10">
        <v>0.93700000000000006</v>
      </c>
      <c r="H10">
        <v>2.1235675000000001</v>
      </c>
      <c r="I10">
        <v>1.3297862500000002</v>
      </c>
      <c r="J10">
        <v>0.79436749999999967</v>
      </c>
      <c r="K10" s="8">
        <v>11.83</v>
      </c>
      <c r="L10" s="8">
        <v>39.450000000000003</v>
      </c>
      <c r="M10" s="9">
        <v>46</v>
      </c>
      <c r="N10" s="9">
        <v>72.55</v>
      </c>
    </row>
    <row r="11" spans="1:14">
      <c r="A11">
        <v>10</v>
      </c>
      <c r="B11" t="s">
        <v>118</v>
      </c>
      <c r="C11">
        <v>1.69</v>
      </c>
      <c r="D11">
        <v>1.68</v>
      </c>
      <c r="E11">
        <v>1.58</v>
      </c>
      <c r="F11">
        <v>0.32900000000000001</v>
      </c>
      <c r="G11">
        <v>0.66200000000000003</v>
      </c>
      <c r="H11">
        <v>1.49438</v>
      </c>
      <c r="I11">
        <v>0.94029874999999985</v>
      </c>
      <c r="J11">
        <v>0.55449249999999983</v>
      </c>
      <c r="K11" s="8">
        <v>36.770000000000003</v>
      </c>
      <c r="L11" s="8">
        <v>33.67</v>
      </c>
      <c r="M11" s="9">
        <v>98.08</v>
      </c>
      <c r="N11" s="9">
        <v>31.96</v>
      </c>
    </row>
    <row r="12" spans="1:14">
      <c r="A12">
        <v>11</v>
      </c>
      <c r="B12" s="7" t="s">
        <v>119</v>
      </c>
      <c r="C12">
        <v>1.77</v>
      </c>
      <c r="D12">
        <v>1.62</v>
      </c>
      <c r="E12">
        <v>1.91</v>
      </c>
      <c r="F12">
        <v>0.35799999999999998</v>
      </c>
      <c r="G12">
        <v>0.68500000000000005</v>
      </c>
      <c r="H12">
        <v>1.5906624999999999</v>
      </c>
      <c r="I12">
        <v>0.96705999999999992</v>
      </c>
      <c r="J12">
        <v>0.62404999999999999</v>
      </c>
      <c r="K12" s="8">
        <v>15.98</v>
      </c>
      <c r="L12" s="8">
        <v>30.65</v>
      </c>
      <c r="M12" s="9">
        <v>57.64</v>
      </c>
      <c r="N12" s="9">
        <v>65.13</v>
      </c>
    </row>
    <row r="13" spans="1:14">
      <c r="A13">
        <v>12</v>
      </c>
      <c r="B13" t="s">
        <v>110</v>
      </c>
      <c r="C13">
        <v>1.55</v>
      </c>
      <c r="D13">
        <v>2</v>
      </c>
      <c r="E13">
        <v>1.67</v>
      </c>
      <c r="F13">
        <v>0.28699999999999998</v>
      </c>
      <c r="G13">
        <v>0.51</v>
      </c>
      <c r="H13">
        <v>1.2359499999999997</v>
      </c>
      <c r="I13">
        <v>0.71312124999999982</v>
      </c>
      <c r="J13">
        <v>0.52318749999999992</v>
      </c>
      <c r="K13" s="8">
        <v>22.58</v>
      </c>
      <c r="L13" s="8">
        <v>42.57</v>
      </c>
      <c r="M13" s="9">
        <v>37.11</v>
      </c>
      <c r="N13" s="9">
        <v>64.459999999999994</v>
      </c>
    </row>
    <row r="14" spans="1:14">
      <c r="A14">
        <v>13</v>
      </c>
      <c r="B14" s="7" t="s">
        <v>120</v>
      </c>
      <c r="C14">
        <v>2.2999999999999998</v>
      </c>
      <c r="D14">
        <v>2.2200000000000002</v>
      </c>
      <c r="E14">
        <v>2.17</v>
      </c>
      <c r="F14">
        <v>0.39700000000000002</v>
      </c>
      <c r="G14">
        <v>0.68600000000000005</v>
      </c>
      <c r="H14">
        <v>1.69014</v>
      </c>
      <c r="I14">
        <v>0.95553374999999996</v>
      </c>
      <c r="J14">
        <v>0.73510249999999999</v>
      </c>
      <c r="K14" s="8">
        <v>18.100000000000001</v>
      </c>
      <c r="L14" s="8">
        <v>48.21</v>
      </c>
      <c r="M14" s="9">
        <v>51.25</v>
      </c>
      <c r="N14" s="9">
        <v>60.03</v>
      </c>
    </row>
    <row r="15" spans="1:14">
      <c r="A15">
        <v>14</v>
      </c>
      <c r="B15" t="s">
        <v>121</v>
      </c>
      <c r="C15">
        <v>1.25</v>
      </c>
      <c r="D15">
        <v>1.1599999999999999</v>
      </c>
      <c r="E15">
        <v>1.28</v>
      </c>
      <c r="F15">
        <v>0.42599999999999999</v>
      </c>
      <c r="G15">
        <v>0.84599999999999997</v>
      </c>
      <c r="H15">
        <v>1.9237649999999999</v>
      </c>
      <c r="I15">
        <v>1.1997825</v>
      </c>
      <c r="J15">
        <v>0.72451500000000002</v>
      </c>
      <c r="K15" s="8">
        <v>15.16</v>
      </c>
      <c r="L15" s="8">
        <v>38.61</v>
      </c>
      <c r="M15" s="9">
        <v>49.32</v>
      </c>
      <c r="N15" s="9">
        <v>40.22</v>
      </c>
    </row>
    <row r="16" spans="1:14">
      <c r="A16">
        <v>15</v>
      </c>
      <c r="B16" t="s">
        <v>122</v>
      </c>
      <c r="C16">
        <v>1.58</v>
      </c>
      <c r="D16">
        <v>1.48</v>
      </c>
      <c r="E16">
        <v>1.44</v>
      </c>
      <c r="F16">
        <v>0.311</v>
      </c>
      <c r="G16">
        <v>0.68</v>
      </c>
      <c r="H16">
        <v>1.4669749999999997</v>
      </c>
      <c r="I16">
        <v>0.97492624999999999</v>
      </c>
      <c r="J16">
        <v>0.49243749999999986</v>
      </c>
      <c r="K16" s="8">
        <v>34.520000000000003</v>
      </c>
      <c r="L16" s="8">
        <v>34.630000000000003</v>
      </c>
      <c r="M16" s="9">
        <v>40.22</v>
      </c>
      <c r="N16" s="9">
        <v>44.28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22"/>
  <sheetViews>
    <sheetView workbookViewId="0">
      <selection activeCell="D2" sqref="D2:D22"/>
    </sheetView>
  </sheetViews>
  <sheetFormatPr defaultRowHeight="15"/>
  <cols>
    <col min="1" max="1" width="14" bestFit="1" customWidth="1"/>
  </cols>
  <sheetData>
    <row r="1" spans="1:4">
      <c r="A1" t="s">
        <v>26</v>
      </c>
      <c r="B1" t="s">
        <v>27</v>
      </c>
      <c r="C1" t="s">
        <v>36</v>
      </c>
      <c r="D1" t="s">
        <v>28</v>
      </c>
    </row>
    <row r="2" spans="1:4">
      <c r="A2" t="s">
        <v>29</v>
      </c>
      <c r="B2">
        <v>1</v>
      </c>
      <c r="C2">
        <v>1</v>
      </c>
      <c r="D2">
        <v>7.64</v>
      </c>
    </row>
    <row r="3" spans="1:4">
      <c r="A3" t="s">
        <v>30</v>
      </c>
      <c r="B3">
        <v>1</v>
      </c>
      <c r="C3">
        <v>2</v>
      </c>
      <c r="D3">
        <v>7.06</v>
      </c>
    </row>
    <row r="4" spans="1:4">
      <c r="A4" t="s">
        <v>31</v>
      </c>
      <c r="B4">
        <v>1</v>
      </c>
      <c r="C4">
        <v>3</v>
      </c>
      <c r="D4">
        <v>8.8000000000000007</v>
      </c>
    </row>
    <row r="5" spans="1:4">
      <c r="A5" t="s">
        <v>32</v>
      </c>
      <c r="B5">
        <v>1</v>
      </c>
      <c r="C5">
        <v>4</v>
      </c>
      <c r="D5">
        <v>7.93</v>
      </c>
    </row>
    <row r="6" spans="1:4">
      <c r="A6" t="s">
        <v>33</v>
      </c>
      <c r="B6">
        <v>1</v>
      </c>
      <c r="C6">
        <v>5</v>
      </c>
      <c r="D6">
        <v>9.0299999999999994</v>
      </c>
    </row>
    <row r="7" spans="1:4">
      <c r="A7" t="s">
        <v>34</v>
      </c>
      <c r="B7">
        <v>1</v>
      </c>
      <c r="C7">
        <v>6</v>
      </c>
      <c r="D7">
        <v>6.48</v>
      </c>
    </row>
    <row r="8" spans="1:4">
      <c r="A8" t="s">
        <v>35</v>
      </c>
      <c r="B8">
        <v>1</v>
      </c>
      <c r="C8">
        <v>7</v>
      </c>
      <c r="D8">
        <v>4.17</v>
      </c>
    </row>
    <row r="9" spans="1:4">
      <c r="A9" t="s">
        <v>29</v>
      </c>
      <c r="B9">
        <v>2</v>
      </c>
      <c r="C9">
        <v>1</v>
      </c>
      <c r="D9">
        <v>8.9600000000000009</v>
      </c>
    </row>
    <row r="10" spans="1:4">
      <c r="A10" t="s">
        <v>30</v>
      </c>
      <c r="B10">
        <v>2</v>
      </c>
      <c r="C10">
        <v>2</v>
      </c>
      <c r="D10">
        <v>9.09</v>
      </c>
    </row>
    <row r="11" spans="1:4">
      <c r="A11" t="s">
        <v>31</v>
      </c>
      <c r="B11">
        <v>2</v>
      </c>
      <c r="C11">
        <v>3</v>
      </c>
      <c r="D11">
        <v>11.33</v>
      </c>
    </row>
    <row r="12" spans="1:4">
      <c r="A12" t="s">
        <v>32</v>
      </c>
      <c r="B12">
        <v>2</v>
      </c>
      <c r="C12">
        <v>4</v>
      </c>
      <c r="D12">
        <v>7.73</v>
      </c>
    </row>
    <row r="13" spans="1:4">
      <c r="A13" t="s">
        <v>33</v>
      </c>
      <c r="B13">
        <v>2</v>
      </c>
      <c r="C13">
        <v>5</v>
      </c>
      <c r="D13">
        <v>7.49</v>
      </c>
    </row>
    <row r="14" spans="1:4">
      <c r="A14" t="s">
        <v>34</v>
      </c>
      <c r="B14">
        <v>2</v>
      </c>
      <c r="C14">
        <v>6</v>
      </c>
      <c r="D14">
        <v>8.27</v>
      </c>
    </row>
    <row r="15" spans="1:4">
      <c r="A15" t="s">
        <v>35</v>
      </c>
      <c r="B15">
        <v>2</v>
      </c>
      <c r="C15">
        <v>7</v>
      </c>
      <c r="D15">
        <v>11.06</v>
      </c>
    </row>
    <row r="16" spans="1:4">
      <c r="A16" t="s">
        <v>29</v>
      </c>
      <c r="B16">
        <v>3</v>
      </c>
      <c r="C16">
        <v>1</v>
      </c>
      <c r="D16">
        <v>6.6</v>
      </c>
    </row>
    <row r="17" spans="1:4">
      <c r="A17" t="s">
        <v>30</v>
      </c>
      <c r="B17">
        <v>3</v>
      </c>
      <c r="C17">
        <v>2</v>
      </c>
      <c r="D17">
        <v>7.26</v>
      </c>
    </row>
    <row r="18" spans="1:4">
      <c r="A18" t="s">
        <v>31</v>
      </c>
      <c r="B18">
        <v>3</v>
      </c>
      <c r="C18">
        <v>3</v>
      </c>
      <c r="D18">
        <v>7.03</v>
      </c>
    </row>
    <row r="19" spans="1:4">
      <c r="A19" t="s">
        <v>32</v>
      </c>
      <c r="B19">
        <v>3</v>
      </c>
      <c r="C19">
        <v>4</v>
      </c>
      <c r="D19">
        <v>8.8800000000000008</v>
      </c>
    </row>
    <row r="20" spans="1:4">
      <c r="A20" t="s">
        <v>33</v>
      </c>
      <c r="B20">
        <v>3</v>
      </c>
      <c r="C20">
        <v>5</v>
      </c>
      <c r="D20">
        <v>9.92</v>
      </c>
    </row>
    <row r="21" spans="1:4">
      <c r="A21" t="s">
        <v>34</v>
      </c>
      <c r="B21">
        <v>3</v>
      </c>
      <c r="C21">
        <v>6</v>
      </c>
      <c r="D21">
        <v>9.57</v>
      </c>
    </row>
    <row r="22" spans="1:4">
      <c r="A22" t="s">
        <v>35</v>
      </c>
      <c r="B22">
        <v>3</v>
      </c>
      <c r="C22">
        <v>7</v>
      </c>
      <c r="D22">
        <v>7.52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22"/>
  <sheetViews>
    <sheetView workbookViewId="0">
      <selection activeCell="E11" sqref="E11"/>
    </sheetView>
  </sheetViews>
  <sheetFormatPr defaultRowHeight="15"/>
  <cols>
    <col min="4" max="4" width="15.42578125" bestFit="1" customWidth="1"/>
    <col min="5" max="11" width="14.140625" customWidth="1"/>
  </cols>
  <sheetData>
    <row r="1" spans="1:4">
      <c r="A1" t="s">
        <v>37</v>
      </c>
      <c r="B1" t="s">
        <v>38</v>
      </c>
      <c r="C1" t="s">
        <v>39</v>
      </c>
      <c r="D1" t="s">
        <v>40</v>
      </c>
    </row>
    <row r="2" spans="1:4">
      <c r="A2">
        <v>1</v>
      </c>
      <c r="B2">
        <v>1</v>
      </c>
      <c r="C2">
        <v>1</v>
      </c>
      <c r="D2" t="s">
        <v>41</v>
      </c>
    </row>
    <row r="3" spans="1:4">
      <c r="A3">
        <v>1</v>
      </c>
      <c r="B3">
        <v>2</v>
      </c>
      <c r="C3">
        <v>2</v>
      </c>
      <c r="D3" t="s">
        <v>42</v>
      </c>
    </row>
    <row r="4" spans="1:4">
      <c r="A4">
        <v>1</v>
      </c>
      <c r="B4">
        <v>3</v>
      </c>
      <c r="C4">
        <v>3</v>
      </c>
      <c r="D4" t="s">
        <v>43</v>
      </c>
    </row>
    <row r="5" spans="1:4">
      <c r="A5">
        <v>1</v>
      </c>
      <c r="B5">
        <v>4</v>
      </c>
      <c r="C5">
        <v>4</v>
      </c>
      <c r="D5" t="s">
        <v>44</v>
      </c>
    </row>
    <row r="6" spans="1:4">
      <c r="A6">
        <v>1</v>
      </c>
      <c r="B6">
        <v>5</v>
      </c>
      <c r="C6">
        <v>5</v>
      </c>
      <c r="D6" t="s">
        <v>45</v>
      </c>
    </row>
    <row r="7" spans="1:4">
      <c r="A7">
        <v>1</v>
      </c>
      <c r="B7">
        <v>6</v>
      </c>
      <c r="C7">
        <v>6</v>
      </c>
      <c r="D7" t="s">
        <v>46</v>
      </c>
    </row>
    <row r="8" spans="1:4">
      <c r="A8">
        <v>1</v>
      </c>
      <c r="B8">
        <v>7</v>
      </c>
      <c r="C8">
        <v>7</v>
      </c>
      <c r="D8" t="s">
        <v>47</v>
      </c>
    </row>
    <row r="9" spans="1:4">
      <c r="A9">
        <v>2</v>
      </c>
      <c r="B9">
        <v>8</v>
      </c>
      <c r="C9">
        <v>3</v>
      </c>
      <c r="D9" t="s">
        <v>43</v>
      </c>
    </row>
    <row r="10" spans="1:4">
      <c r="A10">
        <v>2</v>
      </c>
      <c r="B10">
        <v>9</v>
      </c>
      <c r="C10">
        <v>2</v>
      </c>
      <c r="D10" t="s">
        <v>42</v>
      </c>
    </row>
    <row r="11" spans="1:4">
      <c r="A11">
        <v>2</v>
      </c>
      <c r="B11">
        <v>10</v>
      </c>
      <c r="C11">
        <v>5</v>
      </c>
      <c r="D11" t="s">
        <v>45</v>
      </c>
    </row>
    <row r="12" spans="1:4">
      <c r="A12">
        <v>2</v>
      </c>
      <c r="B12">
        <v>11</v>
      </c>
      <c r="C12">
        <v>6</v>
      </c>
      <c r="D12" t="s">
        <v>46</v>
      </c>
    </row>
    <row r="13" spans="1:4">
      <c r="A13">
        <v>2</v>
      </c>
      <c r="B13">
        <v>12</v>
      </c>
      <c r="C13">
        <v>1</v>
      </c>
      <c r="D13" t="s">
        <v>41</v>
      </c>
    </row>
    <row r="14" spans="1:4">
      <c r="A14">
        <v>2</v>
      </c>
      <c r="B14">
        <v>13</v>
      </c>
      <c r="C14">
        <v>7</v>
      </c>
      <c r="D14" t="s">
        <v>47</v>
      </c>
    </row>
    <row r="15" spans="1:4">
      <c r="A15">
        <v>2</v>
      </c>
      <c r="B15">
        <v>14</v>
      </c>
      <c r="C15">
        <v>4</v>
      </c>
      <c r="D15" t="s">
        <v>44</v>
      </c>
    </row>
    <row r="16" spans="1:4">
      <c r="A16">
        <v>3</v>
      </c>
      <c r="B16">
        <v>15</v>
      </c>
      <c r="C16">
        <v>7</v>
      </c>
      <c r="D16" t="s">
        <v>47</v>
      </c>
    </row>
    <row r="17" spans="1:4" ht="30">
      <c r="A17">
        <v>3</v>
      </c>
      <c r="B17">
        <v>16</v>
      </c>
      <c r="C17">
        <v>6</v>
      </c>
      <c r="D17" s="3" t="s">
        <v>48</v>
      </c>
    </row>
    <row r="18" spans="1:4">
      <c r="A18">
        <v>3</v>
      </c>
      <c r="B18">
        <v>17</v>
      </c>
      <c r="C18">
        <v>5</v>
      </c>
      <c r="D18" t="s">
        <v>45</v>
      </c>
    </row>
    <row r="19" spans="1:4">
      <c r="A19">
        <v>3</v>
      </c>
      <c r="B19">
        <v>18</v>
      </c>
      <c r="C19">
        <v>4</v>
      </c>
      <c r="D19" t="s">
        <v>44</v>
      </c>
    </row>
    <row r="20" spans="1:4">
      <c r="A20">
        <v>3</v>
      </c>
      <c r="B20">
        <v>19</v>
      </c>
      <c r="C20">
        <v>3</v>
      </c>
      <c r="D20" t="s">
        <v>43</v>
      </c>
    </row>
    <row r="21" spans="1:4">
      <c r="A21">
        <v>3</v>
      </c>
      <c r="B21">
        <v>20</v>
      </c>
      <c r="C21">
        <v>2</v>
      </c>
      <c r="D21" t="s">
        <v>42</v>
      </c>
    </row>
    <row r="22" spans="1:4">
      <c r="A22">
        <v>3</v>
      </c>
      <c r="B22">
        <v>21</v>
      </c>
      <c r="C22">
        <v>1</v>
      </c>
      <c r="D2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C67"/>
  <sheetViews>
    <sheetView topLeftCell="A13" workbookViewId="0">
      <selection activeCell="G15" sqref="G15"/>
    </sheetView>
  </sheetViews>
  <sheetFormatPr defaultRowHeight="15"/>
  <cols>
    <col min="1" max="1" width="10.42578125" bestFit="1" customWidth="1"/>
  </cols>
  <sheetData>
    <row r="1" spans="1:3">
      <c r="A1" t="s">
        <v>49</v>
      </c>
      <c r="B1" t="s">
        <v>50</v>
      </c>
      <c r="C1" t="s">
        <v>51</v>
      </c>
    </row>
    <row r="2" spans="1:3">
      <c r="A2" t="s">
        <v>52</v>
      </c>
      <c r="B2">
        <v>1</v>
      </c>
      <c r="C2">
        <v>2.0819999999999999</v>
      </c>
    </row>
    <row r="3" spans="1:3">
      <c r="A3" t="s">
        <v>53</v>
      </c>
      <c r="B3">
        <v>1</v>
      </c>
      <c r="C3">
        <v>2.589</v>
      </c>
    </row>
    <row r="4" spans="1:3">
      <c r="A4" t="s">
        <v>54</v>
      </c>
      <c r="B4">
        <v>1</v>
      </c>
      <c r="C4">
        <v>2.7639999999999998</v>
      </c>
    </row>
    <row r="5" spans="1:3">
      <c r="A5" t="s">
        <v>55</v>
      </c>
      <c r="B5">
        <v>1</v>
      </c>
      <c r="C5">
        <v>2.4689999999999999</v>
      </c>
    </row>
    <row r="6" spans="1:3">
      <c r="A6" t="s">
        <v>56</v>
      </c>
      <c r="B6">
        <v>1</v>
      </c>
      <c r="C6">
        <v>3.125</v>
      </c>
    </row>
    <row r="7" spans="1:3">
      <c r="A7" t="s">
        <v>57</v>
      </c>
      <c r="B7">
        <v>1</v>
      </c>
      <c r="C7">
        <v>2.4990000000000001</v>
      </c>
    </row>
    <row r="8" spans="1:3">
      <c r="A8" t="s">
        <v>58</v>
      </c>
      <c r="B8">
        <v>1</v>
      </c>
      <c r="C8">
        <v>2.3250000000000002</v>
      </c>
    </row>
    <row r="9" spans="1:3">
      <c r="A9" t="s">
        <v>59</v>
      </c>
      <c r="B9">
        <v>1</v>
      </c>
      <c r="C9">
        <v>2.2200000000000002</v>
      </c>
    </row>
    <row r="10" spans="1:3">
      <c r="A10" t="s">
        <v>60</v>
      </c>
      <c r="B10">
        <v>1</v>
      </c>
      <c r="C10">
        <v>1.986</v>
      </c>
    </row>
    <row r="11" spans="1:3">
      <c r="A11" t="s">
        <v>61</v>
      </c>
      <c r="B11">
        <v>1</v>
      </c>
      <c r="C11">
        <v>2.8540000000000001</v>
      </c>
    </row>
    <row r="12" spans="1:3">
      <c r="A12" t="s">
        <v>62</v>
      </c>
      <c r="B12">
        <v>1</v>
      </c>
      <c r="C12">
        <v>3.2330000000000001</v>
      </c>
    </row>
    <row r="13" spans="1:3">
      <c r="A13" t="s">
        <v>52</v>
      </c>
      <c r="B13">
        <v>2</v>
      </c>
      <c r="C13">
        <v>2.964</v>
      </c>
    </row>
    <row r="14" spans="1:3">
      <c r="A14" t="s">
        <v>53</v>
      </c>
      <c r="B14">
        <v>2</v>
      </c>
      <c r="C14">
        <v>3.62</v>
      </c>
    </row>
    <row r="15" spans="1:3">
      <c r="A15" t="s">
        <v>54</v>
      </c>
      <c r="B15">
        <v>2</v>
      </c>
      <c r="C15">
        <v>3.3889999999999998</v>
      </c>
    </row>
    <row r="16" spans="1:3">
      <c r="A16" t="s">
        <v>55</v>
      </c>
      <c r="B16">
        <v>2</v>
      </c>
      <c r="C16">
        <v>2.7549999999999999</v>
      </c>
    </row>
    <row r="17" spans="1:3">
      <c r="A17" t="s">
        <v>56</v>
      </c>
      <c r="B17">
        <v>2</v>
      </c>
      <c r="C17">
        <v>3.4809999999999999</v>
      </c>
    </row>
    <row r="18" spans="1:3">
      <c r="A18" t="s">
        <v>57</v>
      </c>
      <c r="B18">
        <v>2</v>
      </c>
      <c r="C18">
        <v>2.5339999999999998</v>
      </c>
    </row>
    <row r="19" spans="1:3">
      <c r="A19" t="s">
        <v>58</v>
      </c>
      <c r="B19">
        <v>2</v>
      </c>
      <c r="C19">
        <v>3.6920000000000002</v>
      </c>
    </row>
    <row r="20" spans="1:3">
      <c r="A20" t="s">
        <v>59</v>
      </c>
      <c r="B20">
        <v>2</v>
      </c>
      <c r="C20">
        <v>2.5409999999999999</v>
      </c>
    </row>
    <row r="21" spans="1:3">
      <c r="A21" t="s">
        <v>60</v>
      </c>
      <c r="B21">
        <v>2</v>
      </c>
      <c r="C21">
        <v>2.597</v>
      </c>
    </row>
    <row r="22" spans="1:3">
      <c r="A22" t="s">
        <v>61</v>
      </c>
      <c r="B22">
        <v>2</v>
      </c>
      <c r="C22">
        <v>3.605</v>
      </c>
    </row>
    <row r="23" spans="1:3">
      <c r="A23" t="s">
        <v>62</v>
      </c>
      <c r="B23">
        <v>2</v>
      </c>
      <c r="C23">
        <v>4.09</v>
      </c>
    </row>
    <row r="24" spans="1:3">
      <c r="A24" t="s">
        <v>52</v>
      </c>
      <c r="B24">
        <v>3</v>
      </c>
      <c r="C24">
        <v>2.9910000000000001</v>
      </c>
    </row>
    <row r="25" spans="1:3">
      <c r="A25" t="s">
        <v>53</v>
      </c>
      <c r="B25">
        <v>3</v>
      </c>
      <c r="C25">
        <v>3.0750000000000002</v>
      </c>
    </row>
    <row r="26" spans="1:3">
      <c r="A26" t="s">
        <v>54</v>
      </c>
      <c r="B26">
        <v>3</v>
      </c>
      <c r="C26">
        <v>3.593</v>
      </c>
    </row>
    <row r="27" spans="1:3">
      <c r="A27" t="s">
        <v>55</v>
      </c>
      <c r="B27">
        <v>3</v>
      </c>
      <c r="C27">
        <v>3.0329999999999999</v>
      </c>
    </row>
    <row r="28" spans="1:3">
      <c r="A28" t="s">
        <v>56</v>
      </c>
      <c r="B28">
        <v>3</v>
      </c>
      <c r="C28">
        <v>4.0019999999999998</v>
      </c>
    </row>
    <row r="29" spans="1:3">
      <c r="A29" t="s">
        <v>57</v>
      </c>
      <c r="B29">
        <v>3</v>
      </c>
      <c r="C29">
        <v>3.5489999999999999</v>
      </c>
    </row>
    <row r="30" spans="1:3">
      <c r="A30" t="s">
        <v>58</v>
      </c>
      <c r="B30">
        <v>3</v>
      </c>
      <c r="C30">
        <v>3.5529999999999999</v>
      </c>
    </row>
    <row r="31" spans="1:3">
      <c r="A31" t="s">
        <v>59</v>
      </c>
      <c r="B31">
        <v>3</v>
      </c>
      <c r="C31">
        <v>3.242</v>
      </c>
    </row>
    <row r="32" spans="1:3">
      <c r="A32" t="s">
        <v>60</v>
      </c>
      <c r="B32">
        <v>3</v>
      </c>
      <c r="C32">
        <v>2.9390000000000001</v>
      </c>
    </row>
    <row r="33" spans="1:3">
      <c r="A33" t="s">
        <v>61</v>
      </c>
      <c r="B33">
        <v>3</v>
      </c>
      <c r="C33">
        <v>4.5510000000000002</v>
      </c>
    </row>
    <row r="34" spans="1:3">
      <c r="A34" t="s">
        <v>62</v>
      </c>
      <c r="B34">
        <v>3</v>
      </c>
      <c r="C34">
        <v>4.9089999999999998</v>
      </c>
    </row>
    <row r="35" spans="1:3">
      <c r="A35" t="s">
        <v>52</v>
      </c>
      <c r="B35">
        <v>4</v>
      </c>
      <c r="C35">
        <v>3.7789999999999999</v>
      </c>
    </row>
    <row r="36" spans="1:3">
      <c r="A36" t="s">
        <v>53</v>
      </c>
      <c r="B36">
        <v>4</v>
      </c>
      <c r="C36">
        <v>2.782</v>
      </c>
    </row>
    <row r="37" spans="1:3">
      <c r="A37" t="s">
        <v>54</v>
      </c>
      <c r="B37">
        <v>4</v>
      </c>
      <c r="C37">
        <v>3.5880000000000001</v>
      </c>
    </row>
    <row r="38" spans="1:3">
      <c r="A38" t="s">
        <v>55</v>
      </c>
      <c r="B38">
        <v>4</v>
      </c>
      <c r="C38">
        <v>2.262</v>
      </c>
    </row>
    <row r="39" spans="1:3">
      <c r="A39" t="s">
        <v>56</v>
      </c>
      <c r="B39">
        <v>4</v>
      </c>
      <c r="C39">
        <v>4.0129999999999999</v>
      </c>
    </row>
    <row r="40" spans="1:3">
      <c r="A40" t="s">
        <v>57</v>
      </c>
      <c r="B40">
        <v>4</v>
      </c>
      <c r="C40">
        <v>3.1459999999999999</v>
      </c>
    </row>
    <row r="41" spans="1:3">
      <c r="A41" t="s">
        <v>58</v>
      </c>
      <c r="B41">
        <v>4</v>
      </c>
      <c r="C41">
        <v>3.746</v>
      </c>
    </row>
    <row r="42" spans="1:3">
      <c r="A42" t="s">
        <v>59</v>
      </c>
      <c r="B42">
        <v>4</v>
      </c>
      <c r="C42">
        <v>2.9729999999999999</v>
      </c>
    </row>
    <row r="43" spans="1:3">
      <c r="A43" t="s">
        <v>60</v>
      </c>
      <c r="B43">
        <v>4</v>
      </c>
      <c r="C43">
        <v>2.5870000000000002</v>
      </c>
    </row>
    <row r="44" spans="1:3">
      <c r="A44" t="s">
        <v>61</v>
      </c>
      <c r="B44">
        <v>4</v>
      </c>
      <c r="C44">
        <v>4.3289999999999997</v>
      </c>
    </row>
    <row r="45" spans="1:3">
      <c r="A45" t="s">
        <v>62</v>
      </c>
      <c r="B45">
        <v>4</v>
      </c>
      <c r="C45">
        <v>4.3710000000000004</v>
      </c>
    </row>
    <row r="46" spans="1:3">
      <c r="A46" t="s">
        <v>52</v>
      </c>
      <c r="B46">
        <v>5</v>
      </c>
      <c r="C46">
        <v>4.1619999999999999</v>
      </c>
    </row>
    <row r="47" spans="1:3">
      <c r="A47" t="s">
        <v>53</v>
      </c>
      <c r="B47">
        <v>5</v>
      </c>
      <c r="C47">
        <v>3.0379999999999998</v>
      </c>
    </row>
    <row r="48" spans="1:3">
      <c r="A48" t="s">
        <v>54</v>
      </c>
      <c r="B48">
        <v>5</v>
      </c>
      <c r="C48">
        <v>3.4289999999999998</v>
      </c>
    </row>
    <row r="49" spans="1:3">
      <c r="A49" t="s">
        <v>55</v>
      </c>
      <c r="B49">
        <v>5</v>
      </c>
      <c r="C49">
        <v>2.63</v>
      </c>
    </row>
    <row r="50" spans="1:3">
      <c r="A50" t="s">
        <v>56</v>
      </c>
      <c r="B50">
        <v>5</v>
      </c>
      <c r="C50">
        <v>4.1349999999999998</v>
      </c>
    </row>
    <row r="51" spans="1:3">
      <c r="A51" t="s">
        <v>57</v>
      </c>
      <c r="B51">
        <v>5</v>
      </c>
      <c r="C51">
        <v>3.7719999999999998</v>
      </c>
    </row>
    <row r="52" spans="1:3">
      <c r="A52" t="s">
        <v>58</v>
      </c>
      <c r="B52">
        <v>5</v>
      </c>
      <c r="C52">
        <v>3.3079999999999998</v>
      </c>
    </row>
    <row r="53" spans="1:3">
      <c r="A53" t="s">
        <v>59</v>
      </c>
      <c r="B53">
        <v>5</v>
      </c>
      <c r="C53">
        <v>2.84</v>
      </c>
    </row>
    <row r="54" spans="1:3">
      <c r="A54" t="s">
        <v>60</v>
      </c>
      <c r="B54">
        <v>5</v>
      </c>
      <c r="C54">
        <v>2.5710000000000002</v>
      </c>
    </row>
    <row r="55" spans="1:3">
      <c r="A55" t="s">
        <v>61</v>
      </c>
      <c r="B55">
        <v>5</v>
      </c>
      <c r="C55">
        <v>4.34</v>
      </c>
    </row>
    <row r="56" spans="1:3">
      <c r="A56" t="s">
        <v>62</v>
      </c>
      <c r="B56">
        <v>5</v>
      </c>
      <c r="C56">
        <v>3.7210000000000001</v>
      </c>
    </row>
    <row r="57" spans="1:3">
      <c r="A57" t="s">
        <v>52</v>
      </c>
      <c r="B57">
        <v>6</v>
      </c>
      <c r="C57">
        <v>3.47</v>
      </c>
    </row>
    <row r="58" spans="1:3">
      <c r="A58" t="s">
        <v>53</v>
      </c>
      <c r="B58">
        <v>6</v>
      </c>
      <c r="C58">
        <v>3.4460000000000002</v>
      </c>
    </row>
    <row r="59" spans="1:3">
      <c r="A59" t="s">
        <v>54</v>
      </c>
      <c r="B59">
        <v>6</v>
      </c>
      <c r="C59">
        <v>3.0470000000000002</v>
      </c>
    </row>
    <row r="60" spans="1:3">
      <c r="A60" t="s">
        <v>55</v>
      </c>
      <c r="B60">
        <v>6</v>
      </c>
      <c r="C60">
        <v>2.3410000000000002</v>
      </c>
    </row>
    <row r="61" spans="1:3">
      <c r="A61" t="s">
        <v>56</v>
      </c>
      <c r="B61">
        <v>6</v>
      </c>
      <c r="C61">
        <v>3.3319999999999999</v>
      </c>
    </row>
    <row r="62" spans="1:3">
      <c r="A62" t="s">
        <v>57</v>
      </c>
      <c r="B62">
        <v>6</v>
      </c>
      <c r="C62">
        <v>3.9820000000000002</v>
      </c>
    </row>
    <row r="63" spans="1:3">
      <c r="A63" t="s">
        <v>58</v>
      </c>
      <c r="B63">
        <v>6</v>
      </c>
      <c r="C63">
        <v>3.5489999999999999</v>
      </c>
    </row>
    <row r="64" spans="1:3">
      <c r="A64" t="s">
        <v>59</v>
      </c>
      <c r="B64">
        <v>6</v>
      </c>
      <c r="C64">
        <v>3.4980000000000002</v>
      </c>
    </row>
    <row r="65" spans="1:3">
      <c r="A65" t="s">
        <v>60</v>
      </c>
      <c r="B65">
        <v>6</v>
      </c>
      <c r="C65">
        <v>3.59</v>
      </c>
    </row>
    <row r="66" spans="1:3">
      <c r="A66" t="s">
        <v>61</v>
      </c>
      <c r="B66">
        <v>6</v>
      </c>
      <c r="C66">
        <v>4.4729999999999999</v>
      </c>
    </row>
    <row r="67" spans="1:3">
      <c r="A67" t="s">
        <v>62</v>
      </c>
      <c r="B67">
        <v>6</v>
      </c>
      <c r="C67">
        <v>3.6930000000000001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Y43"/>
  <sheetViews>
    <sheetView zoomScale="60" zoomScaleNormal="60" workbookViewId="0">
      <selection activeCell="R34" sqref="R34"/>
    </sheetView>
  </sheetViews>
  <sheetFormatPr defaultRowHeight="15"/>
  <cols>
    <col min="1" max="1" width="36.28515625" bestFit="1" customWidth="1"/>
    <col min="4" max="4" width="38.28515625" bestFit="1" customWidth="1"/>
    <col min="11" max="11" width="38.28515625" bestFit="1" customWidth="1"/>
    <col min="13" max="13" width="12.5703125" bestFit="1" customWidth="1"/>
  </cols>
  <sheetData>
    <row r="1" spans="1:25">
      <c r="D1" t="s">
        <v>175</v>
      </c>
      <c r="Q1" t="s">
        <v>177</v>
      </c>
    </row>
    <row r="2" spans="1:25">
      <c r="A2" s="10" t="s">
        <v>126</v>
      </c>
      <c r="B2" s="10" t="s">
        <v>63</v>
      </c>
      <c r="C2" s="10" t="s">
        <v>64</v>
      </c>
      <c r="D2" s="10" t="s">
        <v>106</v>
      </c>
      <c r="E2" s="10" t="s">
        <v>66</v>
      </c>
      <c r="F2" s="10" t="s">
        <v>67</v>
      </c>
      <c r="G2" s="15" t="s">
        <v>135</v>
      </c>
      <c r="H2" s="15" t="s">
        <v>136</v>
      </c>
      <c r="I2" s="15" t="s">
        <v>234</v>
      </c>
      <c r="J2" s="15" t="s">
        <v>235</v>
      </c>
      <c r="K2" s="15" t="s">
        <v>16</v>
      </c>
      <c r="L2" s="15" t="s">
        <v>18</v>
      </c>
      <c r="M2" s="10" t="s">
        <v>137</v>
      </c>
      <c r="N2" s="15" t="s">
        <v>138</v>
      </c>
      <c r="O2" s="10" t="s">
        <v>63</v>
      </c>
      <c r="P2" s="10" t="s">
        <v>64</v>
      </c>
      <c r="Q2" s="10" t="s">
        <v>106</v>
      </c>
      <c r="R2" s="10" t="s">
        <v>66</v>
      </c>
      <c r="S2" s="10" t="s">
        <v>67</v>
      </c>
      <c r="U2" s="171" t="s">
        <v>223</v>
      </c>
      <c r="V2" s="171"/>
      <c r="W2" s="171"/>
    </row>
    <row r="3" spans="1:25">
      <c r="A3" s="11" t="s">
        <v>127</v>
      </c>
      <c r="B3" s="12">
        <v>0.22800000000000001</v>
      </c>
      <c r="C3" s="13">
        <v>0.59899999999999998</v>
      </c>
      <c r="D3" s="13">
        <f>((20.2*B3)+(8.02*C3))*25/1000/0.2</f>
        <v>1.1761974999999998</v>
      </c>
      <c r="E3" s="13">
        <f>((12.7*C3)-(2.69*B3))*25/1000/0.2</f>
        <v>0.87424749999999996</v>
      </c>
      <c r="F3" s="13">
        <f>((22.9*B3)-(4.68*C3))*25/1000/0.2</f>
        <v>0.30223499999999998</v>
      </c>
      <c r="G3" s="14">
        <v>19.190000000000001</v>
      </c>
      <c r="H3" s="14">
        <v>20.74</v>
      </c>
      <c r="I3" s="14">
        <v>20.76</v>
      </c>
      <c r="J3" s="14">
        <v>73.25</v>
      </c>
      <c r="K3" s="14">
        <v>60.98</v>
      </c>
      <c r="L3" s="12">
        <v>57.66</v>
      </c>
      <c r="M3" s="13">
        <v>1.113</v>
      </c>
      <c r="N3">
        <v>11.72</v>
      </c>
      <c r="O3" s="12">
        <v>0.245</v>
      </c>
      <c r="P3" s="13">
        <v>0.64500000000000002</v>
      </c>
      <c r="Q3" s="13">
        <f>((20.2*O3)+(8.02*P3))*25/1000/0.2</f>
        <v>1.2652375</v>
      </c>
      <c r="R3" s="13">
        <f>((12.7*P3)-(2.69*O3))*25/1000/0.2</f>
        <v>0.94155624999999998</v>
      </c>
      <c r="S3" s="13">
        <f>((22.9*O3)-(4.68*P3))*25/1000/0.2</f>
        <v>0.32398749999999987</v>
      </c>
    </row>
    <row r="4" spans="1:25">
      <c r="A4" s="11" t="s">
        <v>128</v>
      </c>
      <c r="B4" s="12">
        <v>0.25800000000000001</v>
      </c>
      <c r="C4" s="13">
        <v>0.67300000000000004</v>
      </c>
      <c r="D4" s="13">
        <f t="shared" ref="D4:D10" si="0">((20.2*B4)+(8.02*C4))*25/1000/0.2</f>
        <v>1.3261324999999997</v>
      </c>
      <c r="E4" s="13">
        <f t="shared" ref="E4:E10" si="1">((12.7*C4)-(2.69*B4))*25/1000/0.2</f>
        <v>0.98163499999999992</v>
      </c>
      <c r="F4" s="13">
        <f t="shared" ref="F4:F10" si="2">((22.9*B4)-(4.68*C4))*25/1000/0.2</f>
        <v>0.34481999999999996</v>
      </c>
      <c r="G4" s="14">
        <v>25.74</v>
      </c>
      <c r="H4" s="14">
        <v>11.35</v>
      </c>
      <c r="I4" s="14">
        <v>24.13</v>
      </c>
      <c r="J4" s="14">
        <v>49.17</v>
      </c>
      <c r="K4" s="14">
        <v>57.8</v>
      </c>
      <c r="L4" s="12">
        <v>49.08</v>
      </c>
      <c r="M4" s="13">
        <v>1.091</v>
      </c>
      <c r="N4">
        <v>12.468571428571426</v>
      </c>
      <c r="O4" s="12">
        <v>0.23200000000000001</v>
      </c>
      <c r="P4" s="13">
        <v>0.60499999999999998</v>
      </c>
      <c r="Q4" s="13">
        <f t="shared" ref="Q4:Q10" si="3">((20.2*O4)+(8.02*P4))*25/1000/0.2</f>
        <v>1.1923124999999997</v>
      </c>
      <c r="R4" s="13">
        <f t="shared" ref="R4:R10" si="4">((12.7*P4)-(2.69*O4))*25/1000/0.2</f>
        <v>0.88242749999999981</v>
      </c>
      <c r="S4" s="13">
        <f t="shared" ref="S4:S10" si="5">((22.9*O4)-(4.68*P4))*25/1000/0.2</f>
        <v>0.31017500000000003</v>
      </c>
      <c r="V4" s="10" t="s">
        <v>126</v>
      </c>
      <c r="W4" s="10" t="s">
        <v>204</v>
      </c>
      <c r="X4" s="10" t="s">
        <v>205</v>
      </c>
      <c r="Y4" s="10" t="s">
        <v>206</v>
      </c>
    </row>
    <row r="5" spans="1:25">
      <c r="A5" s="11" t="s">
        <v>129</v>
      </c>
      <c r="B5" s="12">
        <v>0.123</v>
      </c>
      <c r="C5" s="13">
        <v>0.34499999999999997</v>
      </c>
      <c r="D5" s="13">
        <f t="shared" si="0"/>
        <v>0.65643750000000001</v>
      </c>
      <c r="E5" s="13">
        <f t="shared" si="1"/>
        <v>0.50632874999999988</v>
      </c>
      <c r="F5" s="13">
        <f t="shared" si="2"/>
        <v>0.15026250000000002</v>
      </c>
      <c r="G5" s="14">
        <v>22.54</v>
      </c>
      <c r="H5" s="14">
        <v>56.04</v>
      </c>
      <c r="I5" s="14">
        <v>38.340000000000003</v>
      </c>
      <c r="J5" s="14">
        <v>60.11</v>
      </c>
      <c r="K5" s="14">
        <v>65.599999999999994</v>
      </c>
      <c r="L5" s="12">
        <v>48.45</v>
      </c>
      <c r="M5" s="13">
        <v>1.278</v>
      </c>
      <c r="N5">
        <v>14.605714285714285</v>
      </c>
      <c r="O5" s="12">
        <v>0.20399999999999999</v>
      </c>
      <c r="P5" s="13">
        <v>0.77700000000000002</v>
      </c>
      <c r="Q5" s="13">
        <f t="shared" si="3"/>
        <v>1.2940425</v>
      </c>
      <c r="R5" s="13">
        <f t="shared" si="4"/>
        <v>1.1648925000000001</v>
      </c>
      <c r="S5" s="13">
        <f t="shared" si="5"/>
        <v>0.12940499999999999</v>
      </c>
      <c r="V5" s="24">
        <v>1</v>
      </c>
      <c r="W5" s="24" t="s">
        <v>212</v>
      </c>
      <c r="X5" s="53">
        <v>1.97</v>
      </c>
      <c r="Y5" s="47">
        <v>8.0299999999999994</v>
      </c>
    </row>
    <row r="6" spans="1:25">
      <c r="A6" s="11" t="s">
        <v>130</v>
      </c>
      <c r="B6" s="12">
        <v>0.27200000000000002</v>
      </c>
      <c r="C6" s="13">
        <v>0.75800000000000001</v>
      </c>
      <c r="D6" s="13">
        <f t="shared" si="0"/>
        <v>1.4466950000000001</v>
      </c>
      <c r="E6" s="13">
        <f t="shared" si="1"/>
        <v>1.1118649999999999</v>
      </c>
      <c r="F6" s="13">
        <f t="shared" si="2"/>
        <v>0.33516999999999997</v>
      </c>
      <c r="G6" s="14">
        <v>31.47</v>
      </c>
      <c r="H6" s="14">
        <v>93.65</v>
      </c>
      <c r="I6" s="14">
        <v>55.2</v>
      </c>
      <c r="J6" s="14">
        <v>90.98</v>
      </c>
      <c r="K6" s="14">
        <v>73.37</v>
      </c>
      <c r="L6" s="12">
        <v>57.21</v>
      </c>
      <c r="M6" s="13">
        <v>1.3180000000000001</v>
      </c>
      <c r="N6">
        <v>15.062857142857142</v>
      </c>
      <c r="O6" s="12">
        <v>0.27800000000000002</v>
      </c>
      <c r="P6" s="13">
        <v>0.84299999999999997</v>
      </c>
      <c r="Q6" s="13">
        <f t="shared" si="3"/>
        <v>1.5470575</v>
      </c>
      <c r="R6" s="13">
        <f t="shared" si="4"/>
        <v>1.2447849999999998</v>
      </c>
      <c r="S6" s="13">
        <f t="shared" si="5"/>
        <v>0.30262</v>
      </c>
      <c r="V6" s="24"/>
      <c r="W6" s="24" t="s">
        <v>213</v>
      </c>
      <c r="X6" s="53">
        <v>1.83</v>
      </c>
      <c r="Y6" s="47">
        <v>7.82</v>
      </c>
    </row>
    <row r="7" spans="1:25">
      <c r="A7" s="11" t="s">
        <v>131</v>
      </c>
      <c r="B7" s="12">
        <v>0.21199999999999999</v>
      </c>
      <c r="C7" s="13">
        <v>0.4</v>
      </c>
      <c r="D7" s="13">
        <f t="shared" si="0"/>
        <v>0.93629999999999991</v>
      </c>
      <c r="E7" s="13">
        <f t="shared" si="1"/>
        <v>0.56371499999999997</v>
      </c>
      <c r="F7" s="13">
        <f t="shared" si="2"/>
        <v>0.37285000000000001</v>
      </c>
      <c r="G7" s="14">
        <v>34.83</v>
      </c>
      <c r="H7" s="14">
        <v>55.37</v>
      </c>
      <c r="I7" s="14">
        <v>43.99</v>
      </c>
      <c r="J7" s="14">
        <v>96.47</v>
      </c>
      <c r="K7" s="14">
        <v>68.099999999999994</v>
      </c>
      <c r="L7" s="12">
        <v>53.87</v>
      </c>
      <c r="M7" s="13">
        <v>1.1930000000000001</v>
      </c>
      <c r="N7">
        <v>13.634285714285713</v>
      </c>
      <c r="O7" s="12">
        <v>0.29799999999999999</v>
      </c>
      <c r="P7" s="13">
        <v>0.64800000000000002</v>
      </c>
      <c r="Q7" s="13">
        <f t="shared" si="3"/>
        <v>1.4020699999999999</v>
      </c>
      <c r="R7" s="13">
        <f t="shared" si="4"/>
        <v>0.92849749999999986</v>
      </c>
      <c r="S7" s="13">
        <f t="shared" si="5"/>
        <v>0.47394499999999989</v>
      </c>
      <c r="V7" s="24">
        <v>2</v>
      </c>
      <c r="W7" s="24" t="s">
        <v>212</v>
      </c>
      <c r="X7" s="53">
        <v>2.1</v>
      </c>
      <c r="Y7" s="47">
        <v>8.06</v>
      </c>
    </row>
    <row r="8" spans="1:25">
      <c r="A8" s="11" t="s">
        <v>132</v>
      </c>
      <c r="B8" s="12">
        <v>0.26300000000000001</v>
      </c>
      <c r="C8" s="13">
        <v>0.72099999999999997</v>
      </c>
      <c r="D8" s="13">
        <f t="shared" si="0"/>
        <v>1.3868774999999995</v>
      </c>
      <c r="E8" s="13">
        <f t="shared" si="1"/>
        <v>1.0561537499999996</v>
      </c>
      <c r="F8" s="13">
        <f t="shared" si="2"/>
        <v>0.33105249999999992</v>
      </c>
      <c r="G8" s="14">
        <v>35.630000000000003</v>
      </c>
      <c r="H8" s="14">
        <v>45.13</v>
      </c>
      <c r="I8" s="14">
        <v>30.47</v>
      </c>
      <c r="J8" s="14">
        <v>27.54</v>
      </c>
      <c r="K8" s="14">
        <v>51.14</v>
      </c>
      <c r="L8" s="12">
        <v>52.17</v>
      </c>
      <c r="M8" s="13">
        <v>1.2969999999999999</v>
      </c>
      <c r="N8">
        <v>14.82285714285714</v>
      </c>
      <c r="O8" s="12">
        <v>0.22</v>
      </c>
      <c r="P8" s="13">
        <v>0.82799999999999996</v>
      </c>
      <c r="Q8" s="13">
        <f t="shared" si="3"/>
        <v>1.3855699999999997</v>
      </c>
      <c r="R8" s="13">
        <f t="shared" si="4"/>
        <v>1.240475</v>
      </c>
      <c r="S8" s="13">
        <f t="shared" si="5"/>
        <v>0.14537</v>
      </c>
      <c r="V8" s="24"/>
      <c r="W8" s="24" t="s">
        <v>213</v>
      </c>
      <c r="X8" s="53">
        <v>2</v>
      </c>
      <c r="Y8" s="47">
        <v>7.73</v>
      </c>
    </row>
    <row r="9" spans="1:25">
      <c r="A9" s="11" t="s">
        <v>133</v>
      </c>
      <c r="B9" s="12">
        <v>0.17100000000000001</v>
      </c>
      <c r="C9" s="13">
        <v>0.505</v>
      </c>
      <c r="D9" s="13">
        <f t="shared" si="0"/>
        <v>0.93803749999999986</v>
      </c>
      <c r="E9" s="13">
        <f t="shared" si="1"/>
        <v>0.74418874999999995</v>
      </c>
      <c r="F9" s="13">
        <f t="shared" si="2"/>
        <v>0.19406250000000003</v>
      </c>
      <c r="G9" s="14">
        <v>42.6</v>
      </c>
      <c r="H9" s="14">
        <v>46.72</v>
      </c>
      <c r="I9" s="14">
        <v>47.2</v>
      </c>
      <c r="J9" s="14">
        <v>63.34</v>
      </c>
      <c r="K9" s="14">
        <v>63.55</v>
      </c>
      <c r="L9" s="12">
        <v>54.32</v>
      </c>
      <c r="M9" s="13">
        <v>1.153</v>
      </c>
      <c r="N9">
        <v>13.177142857142856</v>
      </c>
      <c r="O9" s="12">
        <v>0.29299999999999998</v>
      </c>
      <c r="P9" s="13">
        <v>0.63</v>
      </c>
      <c r="Q9" s="13">
        <f t="shared" si="3"/>
        <v>1.3713999999999997</v>
      </c>
      <c r="R9" s="13">
        <f t="shared" si="4"/>
        <v>0.90160374999999982</v>
      </c>
      <c r="S9" s="13">
        <f t="shared" si="5"/>
        <v>0.47016249999999987</v>
      </c>
      <c r="V9" s="24">
        <v>3</v>
      </c>
      <c r="W9" s="24" t="s">
        <v>212</v>
      </c>
      <c r="X9" s="53">
        <v>1.92</v>
      </c>
      <c r="Y9" s="47">
        <v>8.0299999999999994</v>
      </c>
    </row>
    <row r="10" spans="1:25">
      <c r="A10" s="11" t="s">
        <v>134</v>
      </c>
      <c r="B10" s="12">
        <v>0.214</v>
      </c>
      <c r="C10" s="13">
        <v>0.61699999999999999</v>
      </c>
      <c r="D10" s="13">
        <f t="shared" si="0"/>
        <v>1.1588924999999999</v>
      </c>
      <c r="E10" s="13">
        <f t="shared" si="1"/>
        <v>0.90752999999999995</v>
      </c>
      <c r="F10" s="13">
        <f t="shared" si="2"/>
        <v>0.25163000000000002</v>
      </c>
      <c r="G10" s="14">
        <v>13.76</v>
      </c>
      <c r="H10" s="14">
        <v>46.25</v>
      </c>
      <c r="I10" s="14">
        <v>25.36</v>
      </c>
      <c r="J10" s="14">
        <v>52.35</v>
      </c>
      <c r="K10" s="14">
        <v>65.97</v>
      </c>
      <c r="L10" s="12">
        <v>53.77</v>
      </c>
      <c r="M10" s="13">
        <v>1.111</v>
      </c>
      <c r="N10">
        <v>10.6971428571429</v>
      </c>
      <c r="O10" s="12">
        <v>0.24299999999999999</v>
      </c>
      <c r="P10" s="13">
        <v>0.68700000000000006</v>
      </c>
      <c r="Q10" s="13">
        <f t="shared" si="3"/>
        <v>1.3022925000000001</v>
      </c>
      <c r="R10" s="13">
        <f t="shared" si="4"/>
        <v>1.00890375</v>
      </c>
      <c r="S10" s="13">
        <f t="shared" si="5"/>
        <v>0.29369249999999986</v>
      </c>
      <c r="V10" s="24"/>
      <c r="W10" s="24" t="s">
        <v>213</v>
      </c>
      <c r="X10" s="53">
        <v>1.69</v>
      </c>
      <c r="Y10" s="47">
        <v>7.65</v>
      </c>
    </row>
    <row r="11" spans="1:25">
      <c r="V11" s="24">
        <v>4</v>
      </c>
      <c r="W11" s="24" t="s">
        <v>212</v>
      </c>
      <c r="X11" s="53">
        <v>2.1</v>
      </c>
      <c r="Y11" s="47">
        <v>8.06</v>
      </c>
    </row>
    <row r="12" spans="1:25">
      <c r="V12" s="24"/>
      <c r="W12" s="24" t="s">
        <v>213</v>
      </c>
      <c r="X12" s="53">
        <v>1.28</v>
      </c>
      <c r="Y12" s="47">
        <v>8.11</v>
      </c>
    </row>
    <row r="13" spans="1:25">
      <c r="F13" s="10" t="s">
        <v>139</v>
      </c>
      <c r="G13" s="10" t="s">
        <v>140</v>
      </c>
      <c r="V13" s="24">
        <v>5</v>
      </c>
      <c r="W13" s="24" t="s">
        <v>212</v>
      </c>
      <c r="X13" s="53">
        <v>2</v>
      </c>
      <c r="Y13" s="47">
        <v>7.96</v>
      </c>
    </row>
    <row r="14" spans="1:25">
      <c r="F14" s="16">
        <v>20</v>
      </c>
      <c r="G14" s="17">
        <v>0.81699999999999995</v>
      </c>
      <c r="V14" s="24"/>
      <c r="W14" s="24" t="s">
        <v>213</v>
      </c>
      <c r="X14" s="53">
        <v>1.42</v>
      </c>
      <c r="Y14" s="47">
        <v>8.0299999999999994</v>
      </c>
    </row>
    <row r="15" spans="1:25">
      <c r="F15" s="16">
        <v>40</v>
      </c>
      <c r="G15" s="17">
        <v>0.82499999999999996</v>
      </c>
      <c r="V15" s="24">
        <v>6</v>
      </c>
      <c r="W15" s="24" t="s">
        <v>212</v>
      </c>
      <c r="X15" s="53">
        <v>2.2000000000000002</v>
      </c>
      <c r="Y15" s="47">
        <v>8.07</v>
      </c>
    </row>
    <row r="16" spans="1:25">
      <c r="F16" s="16">
        <v>60</v>
      </c>
      <c r="G16" s="17">
        <v>0.90700000000000003</v>
      </c>
      <c r="V16" s="24"/>
      <c r="W16" s="24" t="s">
        <v>213</v>
      </c>
      <c r="X16" s="53">
        <v>1.7</v>
      </c>
      <c r="Y16" s="47">
        <v>8.0500000000000007</v>
      </c>
    </row>
    <row r="17" spans="4:25">
      <c r="F17" s="16">
        <v>80</v>
      </c>
      <c r="G17" s="17">
        <v>1.2709999999999999</v>
      </c>
      <c r="V17" s="24">
        <v>7</v>
      </c>
      <c r="W17" s="24" t="s">
        <v>212</v>
      </c>
      <c r="X17" s="53">
        <v>2.2000000000000002</v>
      </c>
      <c r="Y17" s="47">
        <v>8.1</v>
      </c>
    </row>
    <row r="18" spans="4:25">
      <c r="F18" s="16">
        <v>100</v>
      </c>
      <c r="G18" s="17">
        <v>1.409</v>
      </c>
      <c r="V18" s="24"/>
      <c r="W18" s="24" t="s">
        <v>213</v>
      </c>
      <c r="X18" s="53">
        <v>1.78</v>
      </c>
      <c r="Y18" s="47">
        <v>8.1</v>
      </c>
    </row>
    <row r="19" spans="4:25">
      <c r="V19" s="24">
        <v>8</v>
      </c>
      <c r="W19" s="24" t="s">
        <v>212</v>
      </c>
      <c r="X19" s="53">
        <v>1.77</v>
      </c>
      <c r="Y19" s="47">
        <v>8.2200000000000006</v>
      </c>
    </row>
    <row r="20" spans="4:25">
      <c r="F20" s="10" t="s">
        <v>176</v>
      </c>
      <c r="V20" s="24"/>
      <c r="W20" s="24" t="s">
        <v>213</v>
      </c>
      <c r="X20" s="53">
        <v>1.45</v>
      </c>
      <c r="Y20" s="47">
        <v>8.01</v>
      </c>
    </row>
    <row r="21" spans="4:25">
      <c r="D21" s="10" t="s">
        <v>126</v>
      </c>
      <c r="E21" s="10" t="s">
        <v>141</v>
      </c>
      <c r="F21" s="10" t="s">
        <v>142</v>
      </c>
      <c r="G21" s="10" t="s">
        <v>143</v>
      </c>
      <c r="L21" s="170" t="s">
        <v>167</v>
      </c>
      <c r="M21" s="170"/>
      <c r="V21" s="24">
        <v>9</v>
      </c>
      <c r="W21" s="24" t="s">
        <v>212</v>
      </c>
      <c r="X21" s="53">
        <v>1.52</v>
      </c>
      <c r="Y21" s="47">
        <v>8.14</v>
      </c>
    </row>
    <row r="22" spans="4:25">
      <c r="D22" s="11" t="s">
        <v>144</v>
      </c>
      <c r="E22" s="12">
        <v>5.3999999999999999E-2</v>
      </c>
      <c r="F22" s="13">
        <v>0.154</v>
      </c>
      <c r="G22" s="13">
        <f>SUM(E22:F22)</f>
        <v>0.20799999999999999</v>
      </c>
      <c r="L22" s="170" t="s">
        <v>168</v>
      </c>
      <c r="M22" s="170"/>
      <c r="V22" s="24"/>
      <c r="W22" s="24" t="s">
        <v>213</v>
      </c>
      <c r="X22" s="53">
        <v>1.38</v>
      </c>
      <c r="Y22" s="47">
        <v>8.18</v>
      </c>
    </row>
    <row r="23" spans="4:25">
      <c r="D23" s="11" t="s">
        <v>145</v>
      </c>
      <c r="E23" s="12">
        <v>9.1999999999999998E-2</v>
      </c>
      <c r="F23" s="13">
        <v>0.372</v>
      </c>
      <c r="G23" s="13">
        <f t="shared" ref="G23:G43" si="6">SUM(E23:F23)</f>
        <v>0.46399999999999997</v>
      </c>
      <c r="K23" s="10" t="s">
        <v>126</v>
      </c>
      <c r="L23" s="10" t="s">
        <v>141</v>
      </c>
      <c r="M23" s="10" t="s">
        <v>142</v>
      </c>
      <c r="N23" s="10" t="s">
        <v>143</v>
      </c>
      <c r="V23" s="24">
        <v>10</v>
      </c>
      <c r="W23" s="24" t="s">
        <v>212</v>
      </c>
      <c r="X23" s="53">
        <v>1.77</v>
      </c>
      <c r="Y23" s="47">
        <v>8.1199999999999992</v>
      </c>
    </row>
    <row r="24" spans="4:25">
      <c r="D24" s="11" t="s">
        <v>146</v>
      </c>
      <c r="E24" s="12">
        <v>3.2000000000000001E-2</v>
      </c>
      <c r="F24" s="13">
        <v>8.4000000000000005E-2</v>
      </c>
      <c r="G24" s="13">
        <f t="shared" si="6"/>
        <v>0.11600000000000001</v>
      </c>
      <c r="K24" s="11" t="s">
        <v>146</v>
      </c>
      <c r="L24" s="12">
        <v>7.3999999999999996E-2</v>
      </c>
      <c r="M24" s="13">
        <v>0.124</v>
      </c>
      <c r="N24" s="13">
        <f>SUM(L24:M24)</f>
        <v>0.19800000000000001</v>
      </c>
      <c r="V24" s="24"/>
      <c r="W24" s="24" t="s">
        <v>213</v>
      </c>
      <c r="X24" s="53">
        <v>1.36</v>
      </c>
      <c r="Y24" s="47">
        <v>8.06</v>
      </c>
    </row>
    <row r="25" spans="4:25">
      <c r="D25" s="11" t="s">
        <v>147</v>
      </c>
      <c r="E25" s="12">
        <v>2.1999999999999999E-2</v>
      </c>
      <c r="F25" s="13">
        <v>0.10199999999999999</v>
      </c>
      <c r="G25" s="13">
        <f t="shared" si="6"/>
        <v>0.124</v>
      </c>
      <c r="K25" s="11" t="s">
        <v>147</v>
      </c>
      <c r="L25" s="12">
        <v>0.06</v>
      </c>
      <c r="M25" s="13">
        <v>0.18</v>
      </c>
      <c r="N25" s="13">
        <f t="shared" ref="N25:N42" si="7">SUM(L25:M25)</f>
        <v>0.24</v>
      </c>
      <c r="V25" s="24">
        <v>11</v>
      </c>
      <c r="W25" s="24" t="s">
        <v>212</v>
      </c>
      <c r="X25" s="53">
        <v>1.82</v>
      </c>
      <c r="Y25" s="47">
        <v>8.08</v>
      </c>
    </row>
    <row r="26" spans="4:25">
      <c r="D26" s="11" t="s">
        <v>148</v>
      </c>
      <c r="E26" s="12">
        <v>8.2000000000000003E-2</v>
      </c>
      <c r="F26" s="13">
        <v>0.19400000000000001</v>
      </c>
      <c r="G26" s="13">
        <f t="shared" si="6"/>
        <v>0.27600000000000002</v>
      </c>
      <c r="K26" s="11" t="s">
        <v>169</v>
      </c>
      <c r="L26" s="12">
        <v>8.7999999999999995E-2</v>
      </c>
      <c r="M26" s="13">
        <v>0.08</v>
      </c>
      <c r="N26" s="13">
        <f t="shared" si="7"/>
        <v>0.16799999999999998</v>
      </c>
      <c r="V26" s="24"/>
      <c r="W26" s="24" t="s">
        <v>213</v>
      </c>
      <c r="X26" s="53">
        <v>1.6</v>
      </c>
      <c r="Y26" s="47">
        <v>8.06</v>
      </c>
    </row>
    <row r="27" spans="4:25">
      <c r="D27" s="11" t="s">
        <v>149</v>
      </c>
      <c r="E27" s="12">
        <v>0.03</v>
      </c>
      <c r="F27" s="13">
        <v>0.06</v>
      </c>
      <c r="G27" s="13">
        <f t="shared" si="6"/>
        <v>0.09</v>
      </c>
      <c r="K27" s="11" t="s">
        <v>170</v>
      </c>
      <c r="L27" s="12">
        <v>4.8000000000000001E-2</v>
      </c>
      <c r="M27" s="13">
        <v>0.108</v>
      </c>
      <c r="N27" s="13">
        <f t="shared" si="7"/>
        <v>0.156</v>
      </c>
      <c r="V27" s="24">
        <v>12</v>
      </c>
      <c r="W27" s="24" t="s">
        <v>212</v>
      </c>
      <c r="X27" s="53">
        <v>1.48</v>
      </c>
      <c r="Y27" s="47">
        <v>8.16</v>
      </c>
    </row>
    <row r="28" spans="4:25">
      <c r="D28" s="11" t="s">
        <v>150</v>
      </c>
      <c r="E28" s="12">
        <v>7.8E-2</v>
      </c>
      <c r="F28" s="13">
        <v>0.14599999999999999</v>
      </c>
      <c r="G28" s="13">
        <f t="shared" si="6"/>
        <v>0.22399999999999998</v>
      </c>
      <c r="K28" s="11" t="s">
        <v>149</v>
      </c>
      <c r="L28" s="12">
        <v>0.05</v>
      </c>
      <c r="M28" s="13">
        <v>9.8000000000000004E-2</v>
      </c>
      <c r="N28" s="13">
        <f t="shared" si="7"/>
        <v>0.14800000000000002</v>
      </c>
      <c r="V28" s="24"/>
      <c r="W28" s="24" t="s">
        <v>213</v>
      </c>
      <c r="X28" s="53">
        <v>1.56</v>
      </c>
      <c r="Y28" s="47">
        <v>8.18</v>
      </c>
    </row>
    <row r="29" spans="4:25">
      <c r="D29" s="11" t="s">
        <v>151</v>
      </c>
      <c r="E29" s="12">
        <v>4.2000000000000003E-2</v>
      </c>
      <c r="F29" s="13">
        <v>9.6000000000000002E-2</v>
      </c>
      <c r="G29" s="13">
        <f t="shared" si="6"/>
        <v>0.13800000000000001</v>
      </c>
      <c r="K29" s="11" t="s">
        <v>150</v>
      </c>
      <c r="L29" s="12">
        <v>7.3999999999999996E-2</v>
      </c>
      <c r="M29" s="13">
        <v>0.16800000000000001</v>
      </c>
      <c r="N29" s="13">
        <f t="shared" si="7"/>
        <v>0.24199999999999999</v>
      </c>
      <c r="V29" s="24">
        <v>13</v>
      </c>
      <c r="W29" s="24" t="s">
        <v>212</v>
      </c>
      <c r="X29" s="53">
        <v>1.19</v>
      </c>
      <c r="Y29" s="47">
        <v>8.1</v>
      </c>
    </row>
    <row r="30" spans="4:25">
      <c r="D30" s="11" t="s">
        <v>152</v>
      </c>
      <c r="E30" s="12">
        <v>0.08</v>
      </c>
      <c r="F30" s="13">
        <v>0.22600000000000001</v>
      </c>
      <c r="G30" s="13">
        <f t="shared" si="6"/>
        <v>0.30599999999999999</v>
      </c>
      <c r="K30" s="11" t="s">
        <v>161</v>
      </c>
      <c r="L30" s="12">
        <v>5.1999999999999998E-2</v>
      </c>
      <c r="M30" s="13">
        <v>7.5999999999999998E-2</v>
      </c>
      <c r="N30" s="13">
        <f t="shared" si="7"/>
        <v>0.128</v>
      </c>
      <c r="V30" s="24"/>
      <c r="W30" s="24" t="s">
        <v>213</v>
      </c>
      <c r="X30" s="53">
        <v>0.99</v>
      </c>
      <c r="Y30" s="47">
        <v>8.06</v>
      </c>
    </row>
    <row r="31" spans="4:25">
      <c r="D31" s="11" t="s">
        <v>153</v>
      </c>
      <c r="E31" s="12">
        <v>4.8000000000000001E-2</v>
      </c>
      <c r="F31" s="13">
        <v>0.11600000000000001</v>
      </c>
      <c r="G31" s="13">
        <f t="shared" si="6"/>
        <v>0.16400000000000001</v>
      </c>
      <c r="K31" s="11" t="s">
        <v>163</v>
      </c>
      <c r="L31" s="12">
        <v>3.4000000000000002E-2</v>
      </c>
      <c r="M31" s="13">
        <v>0.108</v>
      </c>
      <c r="N31" s="13">
        <f t="shared" si="7"/>
        <v>0.14200000000000002</v>
      </c>
      <c r="V31" s="24">
        <v>14</v>
      </c>
      <c r="W31" s="24" t="s">
        <v>212</v>
      </c>
      <c r="X31" s="53">
        <v>1.61</v>
      </c>
      <c r="Y31" s="47">
        <v>7.95</v>
      </c>
    </row>
    <row r="32" spans="4:25">
      <c r="D32" s="11" t="s">
        <v>154</v>
      </c>
      <c r="E32" s="12">
        <v>3.5999999999999997E-2</v>
      </c>
      <c r="F32" s="13">
        <v>0.104</v>
      </c>
      <c r="G32" s="13">
        <f t="shared" si="6"/>
        <v>0.13999999999999999</v>
      </c>
      <c r="K32" s="11" t="s">
        <v>164</v>
      </c>
      <c r="L32" s="12">
        <v>2.4E-2</v>
      </c>
      <c r="M32" s="13">
        <v>5.1999999999999998E-2</v>
      </c>
      <c r="N32" s="13">
        <f t="shared" si="7"/>
        <v>7.5999999999999998E-2</v>
      </c>
      <c r="V32" s="24"/>
      <c r="W32" s="24" t="s">
        <v>213</v>
      </c>
      <c r="X32" s="53">
        <v>1.18</v>
      </c>
      <c r="Y32" s="47">
        <v>8.0500000000000007</v>
      </c>
    </row>
    <row r="33" spans="4:25">
      <c r="D33" s="11" t="s">
        <v>155</v>
      </c>
      <c r="E33" s="12">
        <v>4.3999999999999997E-2</v>
      </c>
      <c r="F33" s="13">
        <v>0.106</v>
      </c>
      <c r="G33" s="13">
        <f t="shared" si="6"/>
        <v>0.15</v>
      </c>
      <c r="K33" s="11" t="s">
        <v>165</v>
      </c>
      <c r="L33" s="12">
        <v>3.7999999999999999E-2</v>
      </c>
      <c r="M33" s="13">
        <v>8.7999999999999995E-2</v>
      </c>
      <c r="N33" s="13">
        <f t="shared" si="7"/>
        <v>0.126</v>
      </c>
      <c r="V33" s="24">
        <v>15</v>
      </c>
      <c r="W33" s="24" t="s">
        <v>212</v>
      </c>
      <c r="X33" s="53">
        <v>1.5</v>
      </c>
      <c r="Y33" s="47">
        <v>8.01</v>
      </c>
    </row>
    <row r="34" spans="4:25">
      <c r="D34" s="11" t="s">
        <v>156</v>
      </c>
      <c r="E34" s="12">
        <v>2.5999999999999999E-2</v>
      </c>
      <c r="F34" s="13">
        <v>7.8E-2</v>
      </c>
      <c r="G34" s="13">
        <f t="shared" si="6"/>
        <v>0.104</v>
      </c>
      <c r="K34" s="11" t="s">
        <v>156</v>
      </c>
      <c r="L34" s="12">
        <v>3.4000000000000002E-2</v>
      </c>
      <c r="M34" s="13">
        <v>5.1999999999999998E-2</v>
      </c>
      <c r="N34" s="13">
        <f t="shared" si="7"/>
        <v>8.5999999999999993E-2</v>
      </c>
      <c r="V34" s="24"/>
      <c r="W34" s="24" t="s">
        <v>213</v>
      </c>
      <c r="X34" s="53">
        <v>1.2</v>
      </c>
      <c r="Y34" s="47">
        <v>7.92</v>
      </c>
    </row>
    <row r="35" spans="4:25">
      <c r="D35" s="11" t="s">
        <v>157</v>
      </c>
      <c r="E35" s="12">
        <v>3.5999999999999997E-2</v>
      </c>
      <c r="F35" s="13">
        <v>0.08</v>
      </c>
      <c r="G35" s="13">
        <f t="shared" si="6"/>
        <v>0.11599999999999999</v>
      </c>
      <c r="K35" s="11" t="s">
        <v>157</v>
      </c>
      <c r="L35" s="12">
        <v>2.5999999999999999E-2</v>
      </c>
      <c r="M35" s="13">
        <v>6.4000000000000001E-2</v>
      </c>
      <c r="N35" s="13">
        <f t="shared" si="7"/>
        <v>0.09</v>
      </c>
      <c r="V35" s="24">
        <v>16</v>
      </c>
      <c r="W35" s="24" t="s">
        <v>212</v>
      </c>
      <c r="X35" s="53">
        <v>1.46</v>
      </c>
      <c r="Y35" s="47">
        <v>7.95</v>
      </c>
    </row>
    <row r="36" spans="4:25">
      <c r="D36" s="11" t="s">
        <v>158</v>
      </c>
      <c r="E36" s="12">
        <v>3.2000000000000001E-2</v>
      </c>
      <c r="F36" s="13">
        <v>7.0000000000000007E-2</v>
      </c>
      <c r="G36" s="13">
        <f t="shared" si="6"/>
        <v>0.10200000000000001</v>
      </c>
      <c r="K36" s="11" t="s">
        <v>158</v>
      </c>
      <c r="L36" s="12">
        <v>4.2000000000000003E-2</v>
      </c>
      <c r="M36" s="13">
        <v>5.8000000000000003E-2</v>
      </c>
      <c r="N36" s="13">
        <f t="shared" si="7"/>
        <v>0.1</v>
      </c>
      <c r="V36" s="24"/>
      <c r="W36" s="24" t="s">
        <v>213</v>
      </c>
      <c r="X36" s="53">
        <v>0.67</v>
      </c>
      <c r="Y36" s="47">
        <v>8.17</v>
      </c>
    </row>
    <row r="37" spans="4:25">
      <c r="D37" s="11" t="s">
        <v>159</v>
      </c>
      <c r="E37" s="12">
        <v>2.5999999999999999E-2</v>
      </c>
      <c r="F37" s="13">
        <v>5.3999999999999999E-2</v>
      </c>
      <c r="G37" s="13">
        <f t="shared" si="6"/>
        <v>0.08</v>
      </c>
      <c r="K37" s="11" t="s">
        <v>159</v>
      </c>
      <c r="L37" s="12">
        <v>4.8000000000000001E-2</v>
      </c>
      <c r="M37" s="13">
        <v>0.08</v>
      </c>
      <c r="N37" s="13">
        <f t="shared" si="7"/>
        <v>0.128</v>
      </c>
    </row>
    <row r="38" spans="4:25">
      <c r="D38" s="11" t="s">
        <v>160</v>
      </c>
      <c r="E38" s="12">
        <v>0.04</v>
      </c>
      <c r="F38" s="13">
        <v>0.05</v>
      </c>
      <c r="G38" s="13">
        <f t="shared" si="6"/>
        <v>0.09</v>
      </c>
      <c r="K38" s="11" t="s">
        <v>160</v>
      </c>
      <c r="L38" s="12">
        <v>2.5999999999999999E-2</v>
      </c>
      <c r="M38" s="13">
        <v>6.6000000000000003E-2</v>
      </c>
      <c r="N38" s="13">
        <f t="shared" si="7"/>
        <v>9.1999999999999998E-2</v>
      </c>
    </row>
    <row r="39" spans="4:25">
      <c r="D39" s="11" t="s">
        <v>161</v>
      </c>
      <c r="E39" s="12">
        <v>4.3999999999999997E-2</v>
      </c>
      <c r="F39" s="13" t="s">
        <v>162</v>
      </c>
      <c r="G39" s="13">
        <f t="shared" si="6"/>
        <v>4.3999999999999997E-2</v>
      </c>
      <c r="K39" s="11" t="s">
        <v>171</v>
      </c>
      <c r="L39" s="12">
        <v>0.02</v>
      </c>
      <c r="M39" s="13">
        <v>5.1999999999999998E-2</v>
      </c>
      <c r="N39" s="13">
        <f t="shared" si="7"/>
        <v>7.1999999999999995E-2</v>
      </c>
    </row>
    <row r="40" spans="4:25">
      <c r="D40" s="11" t="s">
        <v>163</v>
      </c>
      <c r="E40" s="12">
        <v>4.3999999999999997E-2</v>
      </c>
      <c r="F40" s="13">
        <v>0.106</v>
      </c>
      <c r="G40" s="13">
        <f t="shared" si="6"/>
        <v>0.15</v>
      </c>
      <c r="K40" s="11" t="s">
        <v>172</v>
      </c>
      <c r="L40" s="12">
        <v>4.3999999999999997E-2</v>
      </c>
      <c r="M40" s="13">
        <v>8.5999999999999993E-2</v>
      </c>
      <c r="N40" s="13">
        <f t="shared" si="7"/>
        <v>0.13</v>
      </c>
    </row>
    <row r="41" spans="4:25">
      <c r="D41" s="11" t="s">
        <v>164</v>
      </c>
      <c r="E41" s="12">
        <v>2.4E-2</v>
      </c>
      <c r="F41" s="13">
        <v>6.6000000000000003E-2</v>
      </c>
      <c r="G41" s="13">
        <f t="shared" si="6"/>
        <v>0.09</v>
      </c>
      <c r="K41" s="11" t="s">
        <v>173</v>
      </c>
      <c r="L41" s="12">
        <v>0.03</v>
      </c>
      <c r="M41" s="13">
        <v>0.06</v>
      </c>
      <c r="N41" s="13">
        <f t="shared" si="7"/>
        <v>0.09</v>
      </c>
    </row>
    <row r="42" spans="4:25">
      <c r="D42" s="11" t="s">
        <v>165</v>
      </c>
      <c r="E42" s="12">
        <v>0.04</v>
      </c>
      <c r="F42" s="13">
        <v>8.2000000000000003E-2</v>
      </c>
      <c r="G42" s="13">
        <f t="shared" si="6"/>
        <v>0.122</v>
      </c>
      <c r="K42" s="11" t="s">
        <v>174</v>
      </c>
      <c r="L42" s="12">
        <v>3.2000000000000001E-2</v>
      </c>
      <c r="M42" s="13">
        <v>7.1999999999999995E-2</v>
      </c>
      <c r="N42" s="13">
        <f t="shared" si="7"/>
        <v>0.104</v>
      </c>
    </row>
    <row r="43" spans="4:25">
      <c r="D43" s="11" t="s">
        <v>166</v>
      </c>
      <c r="E43" s="12">
        <v>1.4E-2</v>
      </c>
      <c r="F43" s="13">
        <v>0.04</v>
      </c>
      <c r="G43" s="13">
        <f t="shared" si="6"/>
        <v>5.3999999999999999E-2</v>
      </c>
    </row>
  </sheetData>
  <mergeCells count="3">
    <mergeCell ref="L21:M21"/>
    <mergeCell ref="L22:M22"/>
    <mergeCell ref="U2:W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S44"/>
  <sheetViews>
    <sheetView topLeftCell="A25" zoomScale="60" zoomScaleNormal="60" workbookViewId="0">
      <selection activeCell="Y17" sqref="Y17"/>
    </sheetView>
  </sheetViews>
  <sheetFormatPr defaultRowHeight="15"/>
  <sheetData>
    <row r="1" spans="1:9">
      <c r="A1" s="5" t="s">
        <v>178</v>
      </c>
      <c r="B1" s="10" t="s">
        <v>179</v>
      </c>
      <c r="C1" s="78"/>
      <c r="D1" s="78"/>
      <c r="E1" s="10" t="s">
        <v>63</v>
      </c>
      <c r="F1" s="10" t="s">
        <v>64</v>
      </c>
      <c r="G1" s="10" t="s">
        <v>65</v>
      </c>
      <c r="H1" s="10" t="s">
        <v>66</v>
      </c>
      <c r="I1" s="10" t="s">
        <v>67</v>
      </c>
    </row>
    <row r="2" spans="1:9">
      <c r="A2" s="20"/>
      <c r="B2" s="10">
        <v>1</v>
      </c>
      <c r="C2" s="78">
        <v>1</v>
      </c>
      <c r="D2" s="78">
        <v>1</v>
      </c>
      <c r="E2" s="21">
        <v>0.39900000000000002</v>
      </c>
      <c r="F2" s="21">
        <v>1.264</v>
      </c>
      <c r="G2" s="22">
        <f>((20.2*E2)+(8.02*F2))*25/1000/0.2</f>
        <v>2.274635</v>
      </c>
      <c r="H2" s="22">
        <f>((12.7*F2)-(2.69*E2))*25/1000/0.2</f>
        <v>1.8724362499999996</v>
      </c>
      <c r="I2" s="22">
        <f>((22.9*E2)-(4.68*F2))*25/1000/0.2</f>
        <v>0.40269749999999999</v>
      </c>
    </row>
    <row r="3" spans="1:9">
      <c r="A3" s="20"/>
      <c r="B3" s="10">
        <v>2</v>
      </c>
      <c r="C3" s="78">
        <v>1</v>
      </c>
      <c r="D3" s="78">
        <v>2</v>
      </c>
      <c r="E3" s="21">
        <v>0.91500000000000004</v>
      </c>
      <c r="F3" s="21">
        <v>1.992</v>
      </c>
      <c r="G3" s="22">
        <f t="shared" ref="G3:G31" si="0">((20.2*E3)+(8.02*F3))*25/1000/0.2</f>
        <v>4.3073549999999994</v>
      </c>
      <c r="H3" s="22">
        <f t="shared" ref="H3:H31" si="1">((12.7*F3)-(2.69*E3))*25/1000/0.2</f>
        <v>2.8546312499999997</v>
      </c>
      <c r="I3" s="22">
        <f t="shared" ref="I3:I31" si="2">((22.9*E3)-(4.68*F3))*25/1000/0.2</f>
        <v>1.4538674999999996</v>
      </c>
    </row>
    <row r="4" spans="1:9">
      <c r="A4" s="20"/>
      <c r="B4" s="10">
        <v>3</v>
      </c>
      <c r="C4" s="78">
        <v>1</v>
      </c>
      <c r="D4" s="78">
        <v>3</v>
      </c>
      <c r="E4" s="21">
        <v>0.76400000000000001</v>
      </c>
      <c r="F4" s="21">
        <v>1.768</v>
      </c>
      <c r="G4" s="22">
        <f t="shared" si="0"/>
        <v>3.7015199999999995</v>
      </c>
      <c r="H4" s="22">
        <f t="shared" si="1"/>
        <v>2.5498049999999997</v>
      </c>
      <c r="I4" s="22">
        <f t="shared" si="2"/>
        <v>1.1526700000000001</v>
      </c>
    </row>
    <row r="5" spans="1:9">
      <c r="A5" s="20"/>
      <c r="B5" s="10">
        <v>4</v>
      </c>
      <c r="C5" s="78">
        <v>1</v>
      </c>
      <c r="D5" s="78">
        <v>4</v>
      </c>
      <c r="E5" s="21">
        <v>0.85799999999999998</v>
      </c>
      <c r="F5" s="21">
        <v>1.9019999999999999</v>
      </c>
      <c r="G5" s="22">
        <f t="shared" si="0"/>
        <v>4.0732049999999997</v>
      </c>
      <c r="H5" s="22">
        <f t="shared" si="1"/>
        <v>2.7309224999999997</v>
      </c>
      <c r="I5" s="22">
        <f t="shared" si="2"/>
        <v>1.3433549999999999</v>
      </c>
    </row>
    <row r="6" spans="1:9">
      <c r="A6" s="20"/>
      <c r="B6" s="10">
        <v>5</v>
      </c>
      <c r="C6" s="78">
        <v>1</v>
      </c>
      <c r="D6" s="78">
        <v>5</v>
      </c>
      <c r="E6" s="21">
        <v>0.71099999999999997</v>
      </c>
      <c r="F6" s="21">
        <v>1.6379999999999999</v>
      </c>
      <c r="G6" s="22">
        <f t="shared" si="0"/>
        <v>3.4373699999999996</v>
      </c>
      <c r="H6" s="22">
        <f t="shared" si="1"/>
        <v>2.3612512499999996</v>
      </c>
      <c r="I6" s="22">
        <f t="shared" si="2"/>
        <v>1.0770074999999997</v>
      </c>
    </row>
    <row r="7" spans="1:9">
      <c r="A7" s="20"/>
      <c r="B7" s="10">
        <v>6</v>
      </c>
      <c r="C7" s="78">
        <v>1</v>
      </c>
      <c r="D7" s="78">
        <v>6</v>
      </c>
      <c r="E7" s="21">
        <v>0.69199999999999995</v>
      </c>
      <c r="F7" s="21">
        <v>1.5720000000000001</v>
      </c>
      <c r="G7" s="22">
        <f t="shared" si="0"/>
        <v>3.3232299999999997</v>
      </c>
      <c r="H7" s="22">
        <f t="shared" si="1"/>
        <v>2.2628650000000001</v>
      </c>
      <c r="I7" s="22">
        <f t="shared" si="2"/>
        <v>1.0612299999999997</v>
      </c>
    </row>
    <row r="8" spans="1:9">
      <c r="A8" s="20"/>
      <c r="B8" s="10">
        <v>7</v>
      </c>
      <c r="C8" s="78">
        <v>1</v>
      </c>
      <c r="D8" s="78">
        <v>7</v>
      </c>
      <c r="E8" s="21">
        <v>0.68200000000000005</v>
      </c>
      <c r="F8" s="21">
        <v>1.65</v>
      </c>
      <c r="G8" s="22">
        <f t="shared" si="0"/>
        <v>3.3761749999999999</v>
      </c>
      <c r="H8" s="22">
        <f t="shared" si="1"/>
        <v>2.3900524999999999</v>
      </c>
      <c r="I8" s="22">
        <f t="shared" si="2"/>
        <v>0.98697500000000016</v>
      </c>
    </row>
    <row r="9" spans="1:9">
      <c r="A9" s="20"/>
      <c r="B9" s="10">
        <v>8</v>
      </c>
      <c r="C9" s="78">
        <v>1</v>
      </c>
      <c r="D9" s="78">
        <v>8</v>
      </c>
      <c r="E9" s="21">
        <v>0.57199999999999995</v>
      </c>
      <c r="F9" s="21">
        <v>1.3029999999999999</v>
      </c>
      <c r="G9" s="22">
        <f t="shared" si="0"/>
        <v>2.7505574999999998</v>
      </c>
      <c r="H9" s="22">
        <f t="shared" si="1"/>
        <v>1.8761774999999996</v>
      </c>
      <c r="I9" s="22">
        <f t="shared" si="2"/>
        <v>0.87509499999999996</v>
      </c>
    </row>
    <row r="10" spans="1:9">
      <c r="A10" s="20"/>
      <c r="B10" s="10">
        <v>9</v>
      </c>
      <c r="C10" s="78">
        <v>1</v>
      </c>
      <c r="D10" s="78">
        <v>9</v>
      </c>
      <c r="E10" s="21">
        <v>0.75700000000000001</v>
      </c>
      <c r="F10" s="21">
        <v>1.7490000000000001</v>
      </c>
      <c r="G10" s="22">
        <f t="shared" si="0"/>
        <v>3.6647974999999997</v>
      </c>
      <c r="H10" s="22">
        <f t="shared" si="1"/>
        <v>2.5219962499999995</v>
      </c>
      <c r="I10" s="22">
        <f t="shared" si="2"/>
        <v>1.1437474999999999</v>
      </c>
    </row>
    <row r="11" spans="1:9">
      <c r="A11" s="20"/>
      <c r="B11" s="10">
        <v>10</v>
      </c>
      <c r="C11" s="78">
        <v>1</v>
      </c>
      <c r="D11" s="78">
        <v>10</v>
      </c>
      <c r="E11" s="21">
        <v>0.51800000000000002</v>
      </c>
      <c r="F11" s="21">
        <v>1.319</v>
      </c>
      <c r="G11" s="22">
        <f t="shared" si="0"/>
        <v>2.6302474999999994</v>
      </c>
      <c r="H11" s="22">
        <f t="shared" si="1"/>
        <v>1.9197349999999993</v>
      </c>
      <c r="I11" s="22">
        <f t="shared" si="2"/>
        <v>0.7111599999999999</v>
      </c>
    </row>
    <row r="12" spans="1:9">
      <c r="A12" s="23"/>
      <c r="B12" s="10">
        <v>11</v>
      </c>
      <c r="C12" s="78">
        <v>2</v>
      </c>
      <c r="D12" s="78">
        <v>9</v>
      </c>
      <c r="E12" s="24">
        <v>0.629</v>
      </c>
      <c r="F12" s="24">
        <v>1.508</v>
      </c>
      <c r="G12" s="22">
        <f t="shared" si="0"/>
        <v>3.0999950000000003</v>
      </c>
      <c r="H12" s="22">
        <f t="shared" si="1"/>
        <v>2.1824487499999998</v>
      </c>
      <c r="I12" s="22">
        <f t="shared" si="2"/>
        <v>0.91833249999999988</v>
      </c>
    </row>
    <row r="13" spans="1:9">
      <c r="A13" s="23"/>
      <c r="B13" s="10">
        <v>12</v>
      </c>
      <c r="C13" s="78">
        <v>2</v>
      </c>
      <c r="D13" s="78">
        <v>8</v>
      </c>
      <c r="E13" s="24">
        <v>0.624</v>
      </c>
      <c r="F13" s="24">
        <v>1.468</v>
      </c>
      <c r="G13" s="22">
        <f t="shared" si="0"/>
        <v>3.0472699999999997</v>
      </c>
      <c r="H13" s="22">
        <f t="shared" si="1"/>
        <v>2.1206299999999998</v>
      </c>
      <c r="I13" s="22">
        <f t="shared" si="2"/>
        <v>0.92741999999999991</v>
      </c>
    </row>
    <row r="14" spans="1:9">
      <c r="A14" s="23"/>
      <c r="B14" s="10">
        <v>13</v>
      </c>
      <c r="C14" s="78">
        <v>2</v>
      </c>
      <c r="D14" s="78">
        <v>3</v>
      </c>
      <c r="E14" s="24">
        <v>0.71099999999999997</v>
      </c>
      <c r="F14" s="24">
        <v>1.603</v>
      </c>
      <c r="G14" s="22">
        <f t="shared" si="0"/>
        <v>3.4022825000000001</v>
      </c>
      <c r="H14" s="22">
        <f t="shared" si="1"/>
        <v>2.3056887499999998</v>
      </c>
      <c r="I14" s="22">
        <f t="shared" si="2"/>
        <v>1.0974824999999995</v>
      </c>
    </row>
    <row r="15" spans="1:9">
      <c r="A15" s="23"/>
      <c r="B15" s="10">
        <v>14</v>
      </c>
      <c r="C15" s="78">
        <v>2</v>
      </c>
      <c r="D15" s="78">
        <v>5</v>
      </c>
      <c r="E15" s="24">
        <v>0.55300000000000005</v>
      </c>
      <c r="F15" s="24">
        <v>1.3440000000000001</v>
      </c>
      <c r="G15" s="22">
        <f t="shared" si="0"/>
        <v>2.7436850000000002</v>
      </c>
      <c r="H15" s="22">
        <f t="shared" si="1"/>
        <v>1.9476537500000002</v>
      </c>
      <c r="I15" s="22">
        <f t="shared" si="2"/>
        <v>0.7967225</v>
      </c>
    </row>
    <row r="16" spans="1:9">
      <c r="A16" s="23"/>
      <c r="B16" s="10">
        <v>15</v>
      </c>
      <c r="C16" s="78">
        <v>2</v>
      </c>
      <c r="D16" s="78">
        <v>6</v>
      </c>
      <c r="E16" s="24">
        <v>0.61299999999999999</v>
      </c>
      <c r="F16" s="24">
        <v>1.4179999999999999</v>
      </c>
      <c r="G16" s="22">
        <f t="shared" si="0"/>
        <v>2.9693699999999992</v>
      </c>
      <c r="H16" s="22">
        <f t="shared" si="1"/>
        <v>2.0449537499999999</v>
      </c>
      <c r="I16" s="22">
        <f t="shared" si="2"/>
        <v>0.92518249999999991</v>
      </c>
    </row>
    <row r="17" spans="1:9">
      <c r="A17" s="23"/>
      <c r="B17" s="10">
        <v>16</v>
      </c>
      <c r="C17" s="78">
        <v>2</v>
      </c>
      <c r="D17" s="78">
        <v>2</v>
      </c>
      <c r="E17" s="24">
        <v>0.64700000000000002</v>
      </c>
      <c r="F17" s="24">
        <v>1.54</v>
      </c>
      <c r="G17" s="22">
        <f t="shared" si="0"/>
        <v>3.1775249999999997</v>
      </c>
      <c r="H17" s="22">
        <f t="shared" si="1"/>
        <v>2.22719625</v>
      </c>
      <c r="I17" s="22">
        <f t="shared" si="2"/>
        <v>0.95113750000000008</v>
      </c>
    </row>
    <row r="18" spans="1:9">
      <c r="A18" s="23"/>
      <c r="B18" s="10">
        <v>17</v>
      </c>
      <c r="C18" s="78">
        <v>2</v>
      </c>
      <c r="D18" s="78">
        <v>7</v>
      </c>
      <c r="E18" s="24">
        <v>0.73</v>
      </c>
      <c r="F18" s="24">
        <v>1.694</v>
      </c>
      <c r="G18" s="22">
        <f t="shared" si="0"/>
        <v>3.5414849999999998</v>
      </c>
      <c r="H18" s="22">
        <f t="shared" si="1"/>
        <v>2.4437624999999996</v>
      </c>
      <c r="I18" s="22">
        <f t="shared" si="2"/>
        <v>1.0986349999999998</v>
      </c>
    </row>
    <row r="19" spans="1:9">
      <c r="A19" s="23"/>
      <c r="B19" s="10">
        <v>18</v>
      </c>
      <c r="C19" s="78">
        <v>2</v>
      </c>
      <c r="D19" s="78">
        <v>4</v>
      </c>
      <c r="E19" s="24">
        <v>0.626</v>
      </c>
      <c r="F19" s="24">
        <v>1.4319999999999999</v>
      </c>
      <c r="G19" s="22">
        <f t="shared" si="0"/>
        <v>3.0162299999999997</v>
      </c>
      <c r="H19" s="22">
        <f t="shared" si="1"/>
        <v>2.0628074999999999</v>
      </c>
      <c r="I19" s="22">
        <f t="shared" si="2"/>
        <v>0.95420499999999997</v>
      </c>
    </row>
    <row r="20" spans="1:9">
      <c r="A20" s="23"/>
      <c r="B20" s="10">
        <v>19</v>
      </c>
      <c r="C20" s="78">
        <v>2</v>
      </c>
      <c r="D20" s="78">
        <v>1</v>
      </c>
      <c r="E20" s="24">
        <v>0.82699999999999996</v>
      </c>
      <c r="F20" s="24">
        <v>1.8520000000000001</v>
      </c>
      <c r="G20" s="22">
        <f t="shared" si="0"/>
        <v>3.9448049999999992</v>
      </c>
      <c r="H20" s="22">
        <f t="shared" si="1"/>
        <v>2.6619712499999997</v>
      </c>
      <c r="I20" s="22">
        <f t="shared" si="2"/>
        <v>1.2838674999999995</v>
      </c>
    </row>
    <row r="21" spans="1:9">
      <c r="A21" s="23"/>
      <c r="B21" s="10">
        <v>20</v>
      </c>
      <c r="C21" s="78">
        <v>2</v>
      </c>
      <c r="D21" s="78">
        <v>10</v>
      </c>
      <c r="E21" s="24">
        <v>0.59599999999999997</v>
      </c>
      <c r="F21" s="24">
        <v>1.4339999999999999</v>
      </c>
      <c r="G21" s="22">
        <f t="shared" si="0"/>
        <v>2.9424849999999996</v>
      </c>
      <c r="H21" s="22">
        <f t="shared" si="1"/>
        <v>2.0760699999999996</v>
      </c>
      <c r="I21" s="22">
        <f t="shared" si="2"/>
        <v>0.86715999999999982</v>
      </c>
    </row>
    <row r="22" spans="1:9">
      <c r="A22" s="23"/>
      <c r="B22" s="10">
        <v>21</v>
      </c>
      <c r="C22" s="78">
        <v>3</v>
      </c>
      <c r="D22" s="78">
        <v>10</v>
      </c>
      <c r="E22" s="24">
        <v>0.58799999999999997</v>
      </c>
      <c r="F22" s="24">
        <v>1.292</v>
      </c>
      <c r="G22" s="22">
        <f t="shared" si="0"/>
        <v>2.7799299999999998</v>
      </c>
      <c r="H22" s="22">
        <f t="shared" si="1"/>
        <v>1.8533349999999997</v>
      </c>
      <c r="I22" s="22">
        <f t="shared" si="2"/>
        <v>0.92732999999999977</v>
      </c>
    </row>
    <row r="23" spans="1:9">
      <c r="A23" s="23"/>
      <c r="B23" s="10">
        <v>22</v>
      </c>
      <c r="C23" s="78">
        <v>3</v>
      </c>
      <c r="D23" s="78">
        <v>9</v>
      </c>
      <c r="E23" s="24">
        <v>0.747</v>
      </c>
      <c r="F23" s="24">
        <v>1.7050000000000001</v>
      </c>
      <c r="G23" s="22">
        <f t="shared" si="0"/>
        <v>3.5954374999999996</v>
      </c>
      <c r="H23" s="22">
        <f t="shared" si="1"/>
        <v>2.4555087499999999</v>
      </c>
      <c r="I23" s="22">
        <f t="shared" si="2"/>
        <v>1.1408624999999994</v>
      </c>
    </row>
    <row r="24" spans="1:9">
      <c r="A24" s="23"/>
      <c r="B24" s="10">
        <v>23</v>
      </c>
      <c r="C24" s="78">
        <v>3</v>
      </c>
      <c r="D24" s="78">
        <v>8</v>
      </c>
      <c r="E24" s="24">
        <v>0.70899999999999996</v>
      </c>
      <c r="F24" s="24">
        <v>1.605</v>
      </c>
      <c r="G24" s="22">
        <f t="shared" si="0"/>
        <v>3.3992374999999995</v>
      </c>
      <c r="H24" s="22">
        <f t="shared" si="1"/>
        <v>2.3095362499999998</v>
      </c>
      <c r="I24" s="22">
        <f t="shared" si="2"/>
        <v>1.0905874999999996</v>
      </c>
    </row>
    <row r="25" spans="1:9">
      <c r="A25" s="23"/>
      <c r="B25" s="10">
        <v>24</v>
      </c>
      <c r="C25" s="78">
        <v>3</v>
      </c>
      <c r="D25" s="78">
        <v>7</v>
      </c>
      <c r="E25" s="24">
        <v>0.61199999999999999</v>
      </c>
      <c r="F25" s="24">
        <v>1.2889999999999999</v>
      </c>
      <c r="G25" s="22">
        <f t="shared" si="0"/>
        <v>2.8375224999999991</v>
      </c>
      <c r="H25" s="22">
        <f t="shared" si="1"/>
        <v>1.8405024999999993</v>
      </c>
      <c r="I25" s="22">
        <f t="shared" si="2"/>
        <v>0.99778500000000003</v>
      </c>
    </row>
    <row r="26" spans="1:9">
      <c r="A26" s="23"/>
      <c r="B26" s="10">
        <v>25</v>
      </c>
      <c r="C26" s="78">
        <v>3</v>
      </c>
      <c r="D26" s="78">
        <v>6</v>
      </c>
      <c r="E26" s="24">
        <v>0.65700000000000003</v>
      </c>
      <c r="F26" s="24">
        <v>1.5489999999999999</v>
      </c>
      <c r="G26" s="22">
        <f t="shared" si="0"/>
        <v>3.2117974999999999</v>
      </c>
      <c r="H26" s="22">
        <f t="shared" si="1"/>
        <v>2.2381212499999994</v>
      </c>
      <c r="I26" s="22">
        <f t="shared" si="2"/>
        <v>0.97449749999999979</v>
      </c>
    </row>
    <row r="27" spans="1:9">
      <c r="A27" s="23"/>
      <c r="B27" s="10">
        <v>26</v>
      </c>
      <c r="C27" s="78">
        <v>3</v>
      </c>
      <c r="D27" s="78">
        <v>5</v>
      </c>
      <c r="E27" s="24">
        <v>0.71699999999999997</v>
      </c>
      <c r="F27" s="24">
        <v>1.6719999999999999</v>
      </c>
      <c r="G27" s="22">
        <f t="shared" si="0"/>
        <v>3.4866050000000004</v>
      </c>
      <c r="H27" s="22">
        <f t="shared" si="1"/>
        <v>2.4132087499999999</v>
      </c>
      <c r="I27" s="22">
        <f t="shared" si="2"/>
        <v>1.0742924999999999</v>
      </c>
    </row>
    <row r="28" spans="1:9">
      <c r="A28" s="23"/>
      <c r="B28" s="10">
        <v>27</v>
      </c>
      <c r="C28" s="78">
        <v>3</v>
      </c>
      <c r="D28" s="78">
        <v>4</v>
      </c>
      <c r="E28" s="24">
        <v>0.48199999999999998</v>
      </c>
      <c r="F28" s="24">
        <v>1.107</v>
      </c>
      <c r="G28" s="22">
        <f t="shared" si="0"/>
        <v>2.3268174999999993</v>
      </c>
      <c r="H28" s="22">
        <f t="shared" si="1"/>
        <v>1.5952899999999999</v>
      </c>
      <c r="I28" s="22">
        <f t="shared" si="2"/>
        <v>0.73212999999999995</v>
      </c>
    </row>
    <row r="29" spans="1:9">
      <c r="A29" s="23"/>
      <c r="B29" s="10">
        <v>28</v>
      </c>
      <c r="C29" s="78">
        <v>3</v>
      </c>
      <c r="D29" s="78">
        <v>3</v>
      </c>
      <c r="E29" s="24">
        <v>0.5</v>
      </c>
      <c r="F29" s="24">
        <v>1.1970000000000001</v>
      </c>
      <c r="G29" s="22">
        <f t="shared" si="0"/>
        <v>2.4624924999999993</v>
      </c>
      <c r="H29" s="22">
        <f t="shared" si="1"/>
        <v>1.7321124999999999</v>
      </c>
      <c r="I29" s="22">
        <f t="shared" si="2"/>
        <v>0.7310049999999999</v>
      </c>
    </row>
    <row r="30" spans="1:9">
      <c r="A30" s="23"/>
      <c r="B30" s="10">
        <v>29</v>
      </c>
      <c r="C30" s="78">
        <v>3</v>
      </c>
      <c r="D30" s="78">
        <v>2</v>
      </c>
      <c r="E30" s="24">
        <v>0.65300000000000002</v>
      </c>
      <c r="F30" s="24">
        <v>1.468</v>
      </c>
      <c r="G30" s="22">
        <f t="shared" si="0"/>
        <v>3.120495</v>
      </c>
      <c r="H30" s="22">
        <f t="shared" si="1"/>
        <v>2.1108787499999999</v>
      </c>
      <c r="I30" s="22">
        <f t="shared" si="2"/>
        <v>1.0104324999999998</v>
      </c>
    </row>
    <row r="31" spans="1:9">
      <c r="A31" s="23"/>
      <c r="B31" s="10">
        <v>30</v>
      </c>
      <c r="C31" s="78">
        <v>3</v>
      </c>
      <c r="D31" s="78">
        <v>1</v>
      </c>
      <c r="E31" s="24">
        <v>0.57299999999999995</v>
      </c>
      <c r="F31" s="24">
        <v>1.278</v>
      </c>
      <c r="G31" s="22">
        <f t="shared" si="0"/>
        <v>2.7280199999999999</v>
      </c>
      <c r="H31" s="22">
        <f t="shared" si="1"/>
        <v>1.8361537499999996</v>
      </c>
      <c r="I31" s="22">
        <f t="shared" si="2"/>
        <v>0.89258249999999983</v>
      </c>
    </row>
    <row r="33" spans="1:19">
      <c r="A33" s="10" t="s">
        <v>178</v>
      </c>
      <c r="B33" s="10" t="s">
        <v>179</v>
      </c>
      <c r="C33" s="79"/>
      <c r="D33" s="79"/>
      <c r="E33" s="172" t="s">
        <v>65</v>
      </c>
      <c r="F33" s="173"/>
      <c r="G33" s="174"/>
      <c r="H33" s="172" t="s">
        <v>66</v>
      </c>
      <c r="I33" s="173"/>
      <c r="J33" s="174"/>
      <c r="K33" s="170" t="s">
        <v>67</v>
      </c>
      <c r="L33" s="170"/>
      <c r="M33" s="170"/>
      <c r="N33" s="172" t="s">
        <v>184</v>
      </c>
      <c r="O33" s="173"/>
      <c r="P33" s="175"/>
      <c r="Q33" s="172" t="s">
        <v>185</v>
      </c>
      <c r="R33" s="173"/>
      <c r="S33" s="174"/>
    </row>
    <row r="34" spans="1:19">
      <c r="A34" s="10"/>
      <c r="B34" s="25"/>
      <c r="C34" s="25"/>
      <c r="D34" s="25"/>
      <c r="E34" s="26" t="s">
        <v>180</v>
      </c>
      <c r="F34" s="27" t="s">
        <v>181</v>
      </c>
      <c r="G34" s="26" t="s">
        <v>182</v>
      </c>
      <c r="H34" s="27" t="s">
        <v>183</v>
      </c>
      <c r="I34" s="27" t="s">
        <v>181</v>
      </c>
      <c r="J34" s="26" t="s">
        <v>182</v>
      </c>
      <c r="K34" s="27" t="s">
        <v>183</v>
      </c>
      <c r="L34" s="27" t="s">
        <v>181</v>
      </c>
      <c r="M34" s="26" t="s">
        <v>182</v>
      </c>
      <c r="N34" s="26" t="s">
        <v>180</v>
      </c>
      <c r="O34" s="29" t="s">
        <v>181</v>
      </c>
      <c r="P34" s="26" t="s">
        <v>182</v>
      </c>
      <c r="Q34" s="27" t="s">
        <v>183</v>
      </c>
      <c r="R34" s="27" t="s">
        <v>181</v>
      </c>
      <c r="S34" s="26" t="s">
        <v>182</v>
      </c>
    </row>
    <row r="35" spans="1:19">
      <c r="A35" s="10"/>
      <c r="B35" s="10">
        <v>1</v>
      </c>
      <c r="C35" s="78"/>
      <c r="D35" s="78"/>
      <c r="E35" s="28">
        <v>2.274635</v>
      </c>
      <c r="F35" s="28">
        <v>3.0999950000000003</v>
      </c>
      <c r="G35" s="28">
        <v>2.7799299999999998</v>
      </c>
      <c r="H35" s="22">
        <v>1.8724362499999996</v>
      </c>
      <c r="I35" s="22">
        <v>2.1824487499999998</v>
      </c>
      <c r="J35" s="22">
        <v>1.8533349999999997</v>
      </c>
      <c r="K35" s="22">
        <v>0.40269749999999999</v>
      </c>
      <c r="L35" s="22">
        <v>0.91833249999999988</v>
      </c>
      <c r="M35" s="22">
        <v>0.92732999999999977</v>
      </c>
      <c r="N35" s="28">
        <v>7.57</v>
      </c>
      <c r="O35" s="28">
        <v>6.09</v>
      </c>
      <c r="P35" s="30">
        <v>8.31</v>
      </c>
      <c r="Q35" s="22">
        <v>84.97</v>
      </c>
      <c r="R35" s="22">
        <v>74.040000000000006</v>
      </c>
      <c r="S35" s="22">
        <v>69.22</v>
      </c>
    </row>
    <row r="36" spans="1:19">
      <c r="A36" s="10"/>
      <c r="B36" s="10">
        <v>2</v>
      </c>
      <c r="C36" s="78"/>
      <c r="D36" s="78"/>
      <c r="E36" s="28">
        <v>4.3073549999999994</v>
      </c>
      <c r="F36" s="28">
        <v>3.0472699999999997</v>
      </c>
      <c r="G36" s="28">
        <v>3.5954374999999996</v>
      </c>
      <c r="H36" s="22">
        <v>2.8546312499999997</v>
      </c>
      <c r="I36" s="22">
        <v>2.1206299999999998</v>
      </c>
      <c r="J36" s="22">
        <v>2.4555087499999999</v>
      </c>
      <c r="K36" s="22">
        <v>1.4538674999999996</v>
      </c>
      <c r="L36" s="22">
        <v>0.92741999999999991</v>
      </c>
      <c r="M36" s="22">
        <v>1.1408624999999994</v>
      </c>
      <c r="N36" s="28">
        <v>3.61</v>
      </c>
      <c r="O36" s="28">
        <v>6.6</v>
      </c>
      <c r="P36" s="28">
        <v>6.26</v>
      </c>
      <c r="Q36" s="22">
        <v>50.35</v>
      </c>
      <c r="R36" s="22">
        <v>69.88</v>
      </c>
      <c r="S36" s="22">
        <v>68.94</v>
      </c>
    </row>
    <row r="37" spans="1:19">
      <c r="A37" s="10"/>
      <c r="B37" s="10">
        <v>3</v>
      </c>
      <c r="C37" s="78"/>
      <c r="D37" s="78"/>
      <c r="E37" s="28">
        <v>3.7015199999999995</v>
      </c>
      <c r="F37" s="28">
        <v>3.4022825000000001</v>
      </c>
      <c r="G37" s="28">
        <v>3.3992374999999995</v>
      </c>
      <c r="H37" s="22">
        <v>2.5498049999999997</v>
      </c>
      <c r="I37" s="22">
        <v>2.3056887499999998</v>
      </c>
      <c r="J37" s="22">
        <v>2.3095362499999998</v>
      </c>
      <c r="K37" s="22">
        <v>1.1526700000000001</v>
      </c>
      <c r="L37" s="22">
        <v>1.0974824999999995</v>
      </c>
      <c r="M37" s="22">
        <v>1.0905874999999996</v>
      </c>
      <c r="N37" s="28">
        <v>6.14</v>
      </c>
      <c r="O37" s="28">
        <v>7.65</v>
      </c>
      <c r="P37" s="28">
        <v>6.03</v>
      </c>
      <c r="Q37" s="22">
        <v>60.3</v>
      </c>
      <c r="R37" s="22">
        <v>54.91</v>
      </c>
      <c r="S37" s="22">
        <v>63.26</v>
      </c>
    </row>
    <row r="38" spans="1:19">
      <c r="A38" s="10"/>
      <c r="B38" s="10">
        <v>4</v>
      </c>
      <c r="C38" s="78"/>
      <c r="D38" s="78"/>
      <c r="E38" s="28">
        <v>4.0732049999999997</v>
      </c>
      <c r="F38" s="28">
        <v>2.7436850000000002</v>
      </c>
      <c r="G38" s="28">
        <v>2.8375224999999991</v>
      </c>
      <c r="H38" s="22">
        <v>2.7309224999999997</v>
      </c>
      <c r="I38" s="22">
        <v>1.9476537500000002</v>
      </c>
      <c r="J38" s="22">
        <v>1.8405024999999993</v>
      </c>
      <c r="K38" s="22">
        <v>1.3433549999999999</v>
      </c>
      <c r="L38" s="22">
        <v>0.7967225</v>
      </c>
      <c r="M38" s="22">
        <v>0.99778500000000003</v>
      </c>
      <c r="N38" s="28">
        <v>4.87</v>
      </c>
      <c r="O38" s="28">
        <v>6.99</v>
      </c>
      <c r="P38" s="28">
        <v>6.75</v>
      </c>
      <c r="Q38" s="22">
        <v>59.18</v>
      </c>
      <c r="R38" s="22">
        <v>75.69</v>
      </c>
      <c r="S38" s="22">
        <v>75.489999999999995</v>
      </c>
    </row>
    <row r="39" spans="1:19">
      <c r="A39" s="10"/>
      <c r="B39" s="10">
        <v>5</v>
      </c>
      <c r="C39" s="78"/>
      <c r="D39" s="78"/>
      <c r="E39" s="28">
        <v>3.4373699999999996</v>
      </c>
      <c r="F39" s="28">
        <v>2.9693699999999992</v>
      </c>
      <c r="G39" s="28">
        <v>3.2117974999999999</v>
      </c>
      <c r="H39" s="22">
        <v>2.3612512499999996</v>
      </c>
      <c r="I39" s="22">
        <v>2.0449537499999999</v>
      </c>
      <c r="J39" s="22">
        <v>2.2381212499999994</v>
      </c>
      <c r="K39" s="22">
        <v>1.0770074999999997</v>
      </c>
      <c r="L39" s="22">
        <v>0.92518249999999991</v>
      </c>
      <c r="M39" s="22">
        <v>0.97449749999999979</v>
      </c>
      <c r="N39" s="28">
        <v>6.18</v>
      </c>
      <c r="O39" s="28">
        <v>8.32</v>
      </c>
      <c r="P39" s="28">
        <v>6.24</v>
      </c>
      <c r="Q39" s="22">
        <v>46.81</v>
      </c>
      <c r="R39" s="22">
        <v>68.900000000000006</v>
      </c>
      <c r="S39" s="22">
        <v>67.069999999999993</v>
      </c>
    </row>
    <row r="40" spans="1:19">
      <c r="A40" s="10"/>
      <c r="B40" s="10">
        <v>6</v>
      </c>
      <c r="C40" s="78"/>
      <c r="D40" s="78"/>
      <c r="E40" s="28">
        <v>3.3232299999999997</v>
      </c>
      <c r="F40" s="28">
        <v>3.1775249999999997</v>
      </c>
      <c r="G40" s="28">
        <v>3.4866050000000004</v>
      </c>
      <c r="H40" s="22">
        <v>2.2628650000000001</v>
      </c>
      <c r="I40" s="22">
        <v>2.22719625</v>
      </c>
      <c r="J40" s="22">
        <v>2.4132087499999999</v>
      </c>
      <c r="K40" s="22">
        <v>1.0612299999999997</v>
      </c>
      <c r="L40" s="22">
        <v>0.95113750000000008</v>
      </c>
      <c r="M40" s="22">
        <v>1.0742924999999999</v>
      </c>
      <c r="N40" s="28">
        <v>5.89</v>
      </c>
      <c r="O40" s="28">
        <v>7.49</v>
      </c>
      <c r="P40" s="28">
        <v>5.7</v>
      </c>
      <c r="Q40" s="22">
        <v>45.23</v>
      </c>
      <c r="R40" s="22">
        <v>72.599999999999994</v>
      </c>
      <c r="S40" s="22">
        <v>76.27</v>
      </c>
    </row>
    <row r="41" spans="1:19">
      <c r="A41" s="10"/>
      <c r="B41" s="10">
        <v>7</v>
      </c>
      <c r="C41" s="78"/>
      <c r="D41" s="78"/>
      <c r="E41" s="28">
        <v>3.3761749999999999</v>
      </c>
      <c r="F41" s="28">
        <v>3.5414849999999998</v>
      </c>
      <c r="G41" s="28">
        <v>2.3268174999999993</v>
      </c>
      <c r="H41" s="22">
        <v>2.3900524999999999</v>
      </c>
      <c r="I41" s="22">
        <v>2.4437624999999996</v>
      </c>
      <c r="J41" s="22">
        <v>1.5952899999999999</v>
      </c>
      <c r="K41" s="22">
        <v>0.98697500000000016</v>
      </c>
      <c r="L41" s="22">
        <v>1.0986349999999998</v>
      </c>
      <c r="M41" s="22">
        <v>0.73212999999999995</v>
      </c>
      <c r="N41" s="28">
        <v>7.94</v>
      </c>
      <c r="O41" s="28">
        <v>6.5</v>
      </c>
      <c r="P41" s="28">
        <v>5.59</v>
      </c>
      <c r="Q41" s="22">
        <v>61.51</v>
      </c>
      <c r="R41" s="22">
        <v>64.13</v>
      </c>
      <c r="S41" s="22">
        <v>69.709999999999994</v>
      </c>
    </row>
    <row r="42" spans="1:19">
      <c r="A42" s="10"/>
      <c r="B42" s="10">
        <v>8</v>
      </c>
      <c r="C42" s="78"/>
      <c r="D42" s="78"/>
      <c r="E42" s="28">
        <v>2.7505574999999998</v>
      </c>
      <c r="F42" s="28">
        <v>3.0162299999999997</v>
      </c>
      <c r="G42" s="28">
        <v>2.4624924999999993</v>
      </c>
      <c r="H42" s="22">
        <v>1.8761774999999996</v>
      </c>
      <c r="I42" s="22">
        <v>2.0628074999999999</v>
      </c>
      <c r="J42" s="22">
        <v>1.7321124999999999</v>
      </c>
      <c r="K42" s="22">
        <v>0.87509499999999996</v>
      </c>
      <c r="L42" s="22">
        <v>0.95420499999999997</v>
      </c>
      <c r="M42" s="22">
        <v>0.7310049999999999</v>
      </c>
      <c r="N42" s="28">
        <v>6.49</v>
      </c>
      <c r="O42" s="28">
        <v>9.0299999999999994</v>
      </c>
      <c r="P42" s="28">
        <v>5.99</v>
      </c>
      <c r="Q42" s="22">
        <v>64.209999999999994</v>
      </c>
      <c r="R42" s="22">
        <v>79.69</v>
      </c>
      <c r="S42" s="22">
        <v>76.62</v>
      </c>
    </row>
    <row r="43" spans="1:19">
      <c r="A43" s="10"/>
      <c r="B43" s="10">
        <v>9</v>
      </c>
      <c r="C43" s="78"/>
      <c r="D43" s="78"/>
      <c r="E43" s="28">
        <v>3.6647974999999997</v>
      </c>
      <c r="F43" s="28">
        <v>3.9448049999999992</v>
      </c>
      <c r="G43" s="28">
        <v>3.120495</v>
      </c>
      <c r="H43" s="22">
        <v>2.5219962499999995</v>
      </c>
      <c r="I43" s="22">
        <v>2.6619712499999997</v>
      </c>
      <c r="J43" s="22">
        <v>2.1108787499999999</v>
      </c>
      <c r="K43" s="22">
        <v>1.1437474999999999</v>
      </c>
      <c r="L43" s="22">
        <v>1.2838674999999995</v>
      </c>
      <c r="M43" s="22">
        <v>1.0104324999999998</v>
      </c>
      <c r="N43" s="28">
        <v>8.34</v>
      </c>
      <c r="O43" s="28">
        <v>8.44</v>
      </c>
      <c r="P43" s="28">
        <v>5.77</v>
      </c>
      <c r="Q43" s="22">
        <v>67.25</v>
      </c>
      <c r="R43" s="22">
        <v>64.03</v>
      </c>
      <c r="S43" s="22">
        <v>67.3</v>
      </c>
    </row>
    <row r="44" spans="1:19">
      <c r="A44" s="16"/>
      <c r="B44" s="10">
        <v>10</v>
      </c>
      <c r="C44" s="78"/>
      <c r="D44" s="78"/>
      <c r="E44" s="28">
        <v>2.6302474999999994</v>
      </c>
      <c r="F44" s="28">
        <v>2.9424849999999996</v>
      </c>
      <c r="G44" s="28">
        <v>2.7280199999999999</v>
      </c>
      <c r="H44" s="22">
        <v>1.9197349999999993</v>
      </c>
      <c r="I44" s="22">
        <v>2.0760699999999996</v>
      </c>
      <c r="J44" s="22">
        <v>1.8361537499999996</v>
      </c>
      <c r="K44" s="22">
        <v>0.7111599999999999</v>
      </c>
      <c r="L44" s="22">
        <v>0.86715999999999982</v>
      </c>
      <c r="M44" s="22">
        <v>0.89258249999999983</v>
      </c>
      <c r="N44" s="28">
        <v>6.35</v>
      </c>
      <c r="O44" s="28">
        <v>5.51</v>
      </c>
      <c r="P44" s="28">
        <v>5.47</v>
      </c>
      <c r="Q44" s="22">
        <v>51.21</v>
      </c>
      <c r="R44" s="22">
        <v>56.32</v>
      </c>
      <c r="S44" s="22">
        <v>65.48</v>
      </c>
    </row>
  </sheetData>
  <mergeCells count="5">
    <mergeCell ref="E33:G33"/>
    <mergeCell ref="H33:J33"/>
    <mergeCell ref="K33:M33"/>
    <mergeCell ref="N33:P33"/>
    <mergeCell ref="Q33:S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O38"/>
  <sheetViews>
    <sheetView topLeftCell="A4" zoomScale="80" zoomScaleNormal="80" workbookViewId="0">
      <selection activeCell="M38" sqref="M38"/>
    </sheetView>
  </sheetViews>
  <sheetFormatPr defaultRowHeight="15"/>
  <cols>
    <col min="5" max="5" width="11.28515625" customWidth="1"/>
  </cols>
  <sheetData>
    <row r="1" spans="1:15">
      <c r="A1" s="23" t="s">
        <v>224</v>
      </c>
      <c r="B1" s="23"/>
      <c r="C1" s="23"/>
      <c r="D1" s="23"/>
      <c r="E1" s="23" t="s">
        <v>225</v>
      </c>
    </row>
    <row r="2" spans="1:15">
      <c r="I2" s="52"/>
      <c r="J2" s="176" t="s">
        <v>270</v>
      </c>
      <c r="K2" s="176"/>
      <c r="L2" s="176"/>
      <c r="M2" s="176" t="s">
        <v>206</v>
      </c>
      <c r="N2" s="176"/>
      <c r="O2" s="176"/>
    </row>
    <row r="3" spans="1:15">
      <c r="B3" s="10" t="s">
        <v>126</v>
      </c>
      <c r="C3" s="10" t="s">
        <v>204</v>
      </c>
      <c r="D3" s="10" t="s">
        <v>205</v>
      </c>
      <c r="E3" s="10" t="s">
        <v>206</v>
      </c>
      <c r="I3" s="18" t="s">
        <v>204</v>
      </c>
      <c r="J3" s="73" t="s">
        <v>267</v>
      </c>
      <c r="K3" s="73" t="s">
        <v>268</v>
      </c>
      <c r="L3" s="73" t="s">
        <v>269</v>
      </c>
      <c r="M3" s="73" t="s">
        <v>267</v>
      </c>
      <c r="N3" s="73" t="s">
        <v>268</v>
      </c>
      <c r="O3" s="73" t="s">
        <v>269</v>
      </c>
    </row>
    <row r="4" spans="1:15">
      <c r="A4" t="s">
        <v>226</v>
      </c>
      <c r="B4" s="24">
        <v>1</v>
      </c>
      <c r="C4" s="24" t="s">
        <v>212</v>
      </c>
      <c r="D4" s="53">
        <v>2.2999999999999998</v>
      </c>
      <c r="E4" s="53">
        <v>7.65</v>
      </c>
      <c r="F4" t="s">
        <v>236</v>
      </c>
      <c r="I4" s="24" t="s">
        <v>212</v>
      </c>
      <c r="J4" s="74">
        <v>5.2</v>
      </c>
      <c r="K4" s="74">
        <v>1.6</v>
      </c>
      <c r="L4" s="74">
        <v>3.1250000000000004</v>
      </c>
      <c r="M4" s="74">
        <v>7.65</v>
      </c>
      <c r="N4" s="74">
        <v>7.29</v>
      </c>
      <c r="O4" s="74">
        <v>7.5012499999999998</v>
      </c>
    </row>
    <row r="5" spans="1:15">
      <c r="B5" s="24"/>
      <c r="C5" s="24" t="s">
        <v>213</v>
      </c>
      <c r="D5" s="53">
        <v>1.35</v>
      </c>
      <c r="E5" s="53">
        <v>8</v>
      </c>
      <c r="I5" s="24" t="s">
        <v>213</v>
      </c>
      <c r="J5" s="74">
        <v>1.5</v>
      </c>
      <c r="K5" s="74">
        <v>0.88</v>
      </c>
      <c r="L5" s="74">
        <v>1.2450000000000001</v>
      </c>
      <c r="M5" s="74">
        <v>8.02</v>
      </c>
      <c r="N5" s="74">
        <v>7.62</v>
      </c>
      <c r="O5" s="74">
        <v>7.8709999999999996</v>
      </c>
    </row>
    <row r="6" spans="1:15">
      <c r="B6" s="24"/>
      <c r="C6" s="24" t="s">
        <v>227</v>
      </c>
      <c r="D6" s="53">
        <v>0.98</v>
      </c>
      <c r="E6" s="53">
        <v>8.1999999999999993</v>
      </c>
      <c r="I6" s="24" t="s">
        <v>227</v>
      </c>
      <c r="J6" s="74">
        <v>1.6</v>
      </c>
      <c r="K6" s="74">
        <v>0.56999999999999995</v>
      </c>
      <c r="L6" s="74">
        <v>1.101</v>
      </c>
      <c r="M6" s="74">
        <v>8.41</v>
      </c>
      <c r="N6" s="74">
        <v>7.83</v>
      </c>
      <c r="O6" s="74">
        <v>8.0459999999999994</v>
      </c>
    </row>
    <row r="7" spans="1:15">
      <c r="B7" s="24"/>
      <c r="C7" s="24" t="s">
        <v>228</v>
      </c>
      <c r="D7" s="53">
        <v>1.04</v>
      </c>
      <c r="E7" s="47">
        <v>6.78</v>
      </c>
      <c r="I7" s="24" t="s">
        <v>228</v>
      </c>
      <c r="J7" s="74">
        <v>1.9</v>
      </c>
      <c r="K7" s="74">
        <v>0.6</v>
      </c>
      <c r="L7" s="74">
        <v>1.22</v>
      </c>
      <c r="M7" s="74">
        <v>8.35</v>
      </c>
      <c r="N7" s="74">
        <v>6.78</v>
      </c>
      <c r="O7" s="74">
        <v>7.7319999999999993</v>
      </c>
    </row>
    <row r="8" spans="1:15">
      <c r="B8" s="24">
        <v>2</v>
      </c>
      <c r="C8" s="24" t="s">
        <v>212</v>
      </c>
      <c r="D8" s="53">
        <v>4.3</v>
      </c>
      <c r="E8" s="47">
        <v>7.47</v>
      </c>
    </row>
    <row r="9" spans="1:15">
      <c r="B9" s="24"/>
      <c r="C9" s="24" t="s">
        <v>213</v>
      </c>
      <c r="D9" s="53">
        <v>1.5</v>
      </c>
      <c r="E9" s="47">
        <v>7.84</v>
      </c>
    </row>
    <row r="10" spans="1:15">
      <c r="B10" s="24"/>
      <c r="C10" s="24" t="s">
        <v>227</v>
      </c>
      <c r="D10" s="53">
        <v>1.4</v>
      </c>
      <c r="E10" s="47">
        <v>7.83</v>
      </c>
    </row>
    <row r="11" spans="1:15">
      <c r="B11" s="24"/>
      <c r="C11" s="24" t="s">
        <v>228</v>
      </c>
      <c r="D11" s="53">
        <v>1.6</v>
      </c>
      <c r="E11" s="47">
        <v>7.79</v>
      </c>
    </row>
    <row r="12" spans="1:15">
      <c r="A12" t="s">
        <v>229</v>
      </c>
      <c r="B12" s="24">
        <v>1</v>
      </c>
      <c r="C12" s="24" t="s">
        <v>212</v>
      </c>
      <c r="D12" s="53">
        <v>5.2</v>
      </c>
      <c r="E12" s="47">
        <v>7.29</v>
      </c>
      <c r="F12" t="s">
        <v>237</v>
      </c>
    </row>
    <row r="13" spans="1:15">
      <c r="B13" s="24"/>
      <c r="C13" s="24" t="s">
        <v>213</v>
      </c>
      <c r="D13" s="53">
        <v>1.5</v>
      </c>
      <c r="E13" s="47">
        <v>7.62</v>
      </c>
    </row>
    <row r="14" spans="1:15">
      <c r="B14" s="24"/>
      <c r="C14" s="24" t="s">
        <v>227</v>
      </c>
      <c r="D14" s="53">
        <v>1</v>
      </c>
      <c r="E14" s="47">
        <v>7.97</v>
      </c>
    </row>
    <row r="15" spans="1:15">
      <c r="B15" s="24"/>
      <c r="C15" s="24" t="s">
        <v>228</v>
      </c>
      <c r="D15" s="53">
        <v>0.9</v>
      </c>
      <c r="E15" s="47">
        <v>8.09</v>
      </c>
    </row>
    <row r="16" spans="1:15">
      <c r="B16" s="24">
        <v>2</v>
      </c>
      <c r="C16" s="24" t="s">
        <v>212</v>
      </c>
      <c r="D16" s="53">
        <v>2.4</v>
      </c>
      <c r="E16" s="47">
        <v>7.62</v>
      </c>
    </row>
    <row r="17" spans="1:6">
      <c r="B17" s="24"/>
      <c r="C17" s="24" t="s">
        <v>213</v>
      </c>
      <c r="D17" s="53">
        <v>1.1000000000000001</v>
      </c>
      <c r="E17" s="47">
        <v>7.95</v>
      </c>
    </row>
    <row r="18" spans="1:6">
      <c r="B18" s="24"/>
      <c r="C18" s="24" t="s">
        <v>227</v>
      </c>
      <c r="D18" s="53">
        <v>1.2</v>
      </c>
      <c r="E18" s="47">
        <v>7.98</v>
      </c>
    </row>
    <row r="19" spans="1:6">
      <c r="B19" s="24"/>
      <c r="C19" s="24" t="s">
        <v>228</v>
      </c>
      <c r="D19" s="53">
        <v>1.3</v>
      </c>
      <c r="E19" s="47">
        <v>7.86</v>
      </c>
    </row>
    <row r="20" spans="1:6">
      <c r="A20" t="s">
        <v>230</v>
      </c>
      <c r="B20" s="24">
        <v>1</v>
      </c>
      <c r="C20" s="24" t="s">
        <v>212</v>
      </c>
      <c r="D20" s="53">
        <v>3.9</v>
      </c>
      <c r="E20" s="47">
        <v>7.44</v>
      </c>
      <c r="F20" t="s">
        <v>238</v>
      </c>
    </row>
    <row r="21" spans="1:6">
      <c r="B21" s="24"/>
      <c r="C21" s="24" t="s">
        <v>213</v>
      </c>
      <c r="D21" s="53">
        <v>1.3</v>
      </c>
      <c r="E21" s="47">
        <v>7.95</v>
      </c>
    </row>
    <row r="22" spans="1:6">
      <c r="B22" s="24"/>
      <c r="C22" s="24" t="s">
        <v>227</v>
      </c>
      <c r="D22" s="53">
        <v>1.6</v>
      </c>
      <c r="E22" s="47">
        <v>7.88</v>
      </c>
    </row>
    <row r="23" spans="1:6">
      <c r="B23" s="24"/>
      <c r="C23" s="24" t="s">
        <v>228</v>
      </c>
      <c r="D23" s="53">
        <v>1.9</v>
      </c>
      <c r="E23" s="47">
        <v>7.73</v>
      </c>
    </row>
    <row r="24" spans="1:6">
      <c r="B24" s="24">
        <v>2</v>
      </c>
      <c r="C24" s="24" t="s">
        <v>212</v>
      </c>
      <c r="D24" s="53">
        <v>3</v>
      </c>
      <c r="E24" s="47">
        <v>7.54</v>
      </c>
    </row>
    <row r="25" spans="1:6">
      <c r="B25" s="24"/>
      <c r="C25" s="24" t="s">
        <v>213</v>
      </c>
      <c r="D25" s="53">
        <v>1.2</v>
      </c>
      <c r="E25" s="47">
        <v>7.91</v>
      </c>
    </row>
    <row r="26" spans="1:6">
      <c r="B26" s="24"/>
      <c r="C26" s="24" t="s">
        <v>227</v>
      </c>
      <c r="D26" s="53">
        <v>1.2</v>
      </c>
      <c r="E26" s="47">
        <v>7.88</v>
      </c>
    </row>
    <row r="27" spans="1:6">
      <c r="B27" s="24"/>
      <c r="C27" s="24" t="s">
        <v>228</v>
      </c>
      <c r="D27" s="53">
        <v>1.5</v>
      </c>
      <c r="E27" s="47">
        <v>7.83</v>
      </c>
    </row>
    <row r="28" spans="1:6">
      <c r="A28" t="s">
        <v>231</v>
      </c>
      <c r="B28" s="24">
        <v>1</v>
      </c>
      <c r="C28" s="24" t="s">
        <v>212</v>
      </c>
      <c r="D28" s="53">
        <v>1.6</v>
      </c>
      <c r="E28" s="47">
        <v>7.53</v>
      </c>
    </row>
    <row r="29" spans="1:6">
      <c r="B29" s="24"/>
      <c r="C29" s="24" t="s">
        <v>213</v>
      </c>
      <c r="D29" s="53">
        <v>0.88</v>
      </c>
      <c r="E29" s="47">
        <v>8.02</v>
      </c>
    </row>
    <row r="30" spans="1:6">
      <c r="B30" s="24"/>
      <c r="C30" s="24" t="s">
        <v>227</v>
      </c>
      <c r="D30" s="53">
        <v>0.56999999999999995</v>
      </c>
      <c r="E30" s="47">
        <v>8.41</v>
      </c>
    </row>
    <row r="31" spans="1:6">
      <c r="B31" s="24"/>
      <c r="C31" s="24" t="s">
        <v>228</v>
      </c>
      <c r="D31" s="53">
        <v>0.6</v>
      </c>
      <c r="E31" s="47">
        <v>8.35</v>
      </c>
    </row>
    <row r="32" spans="1:6">
      <c r="B32" s="24">
        <v>2</v>
      </c>
      <c r="C32" s="24" t="s">
        <v>212</v>
      </c>
      <c r="D32" s="53">
        <v>2.2999999999999998</v>
      </c>
      <c r="E32" s="47">
        <v>7.47</v>
      </c>
    </row>
    <row r="33" spans="2:5">
      <c r="B33" s="24"/>
      <c r="C33" s="24" t="s">
        <v>213</v>
      </c>
      <c r="D33" s="53">
        <v>1.24</v>
      </c>
      <c r="E33" s="47">
        <v>7.78</v>
      </c>
    </row>
    <row r="34" spans="2:5">
      <c r="B34" s="24"/>
      <c r="C34" s="24" t="s">
        <v>227</v>
      </c>
      <c r="D34" s="53">
        <v>0.89</v>
      </c>
      <c r="E34" s="47">
        <v>8.07</v>
      </c>
    </row>
    <row r="35" spans="2:5">
      <c r="B35" s="24"/>
      <c r="C35" s="24" t="s">
        <v>228</v>
      </c>
      <c r="D35" s="53">
        <v>0.86</v>
      </c>
      <c r="E35" s="47">
        <v>7.76</v>
      </c>
    </row>
    <row r="36" spans="2:5">
      <c r="D36" s="72"/>
      <c r="E36" s="72"/>
    </row>
    <row r="37" spans="2:5">
      <c r="D37" s="71"/>
      <c r="E37" s="71"/>
    </row>
    <row r="38" spans="2:5">
      <c r="D38" s="71"/>
      <c r="E38" s="71"/>
    </row>
  </sheetData>
  <mergeCells count="2">
    <mergeCell ref="M2:O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Samni Soil profile</vt:lpstr>
      <vt:lpstr>Maize final</vt:lpstr>
      <vt:lpstr>Sheet13</vt:lpstr>
      <vt:lpstr>Sheet9</vt:lpstr>
      <vt:lpstr>Sheet10</vt:lpstr>
      <vt:lpstr>Sheet15</vt:lpstr>
      <vt:lpstr>Sheet12</vt:lpstr>
      <vt:lpstr>Microplot Final</vt:lpstr>
      <vt:lpstr>Large plot Final</vt:lpstr>
      <vt:lpstr>15 entry final</vt:lpstr>
      <vt:lpstr>Wheat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2016-03-01T18:56:04Z</dcterms:modified>
</cp:coreProperties>
</file>