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9"/>
  </bookViews>
  <sheets>
    <sheet name="Original" sheetId="1" r:id="rId1"/>
    <sheet name="PHT" sheetId="2" r:id="rId2"/>
    <sheet name="SCY per plot" sheetId="3" r:id="rId3"/>
    <sheet name="SCY per plant" sheetId="4" r:id="rId4"/>
    <sheet name="Leaf area" sheetId="5" r:id="rId5"/>
    <sheet name="Sugar" sheetId="6" r:id="rId6"/>
    <sheet name="Na" sheetId="8" r:id="rId7"/>
    <sheet name="K" sheetId="9" r:id="rId8"/>
    <sheet name="KNA Corrected" sheetId="10" r:id="rId9"/>
    <sheet name="Final Table" sheetId="7" r:id="rId10"/>
  </sheets>
  <calcPr calcId="125725"/>
</workbook>
</file>

<file path=xl/calcChain.xml><?xml version="1.0" encoding="utf-8"?>
<calcChain xmlns="http://schemas.openxmlformats.org/spreadsheetml/2006/main">
  <c r="S34" i="7"/>
  <c r="C75" i="6" l="1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10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9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8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4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3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C75" i="2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E3"/>
  <c r="C3"/>
  <c r="K70" s="1"/>
  <c r="C2"/>
  <c r="E4" s="1"/>
  <c r="I74" i="5" l="1"/>
  <c r="C6" s="1"/>
  <c r="I74" i="6"/>
  <c r="C5" s="1"/>
  <c r="P11" s="1"/>
  <c r="C4"/>
  <c r="E3"/>
  <c r="E5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C5" i="5"/>
  <c r="P11" s="1"/>
  <c r="E3"/>
  <c r="E5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E3" i="10"/>
  <c r="E5" s="1"/>
  <c r="I4" s="1"/>
  <c r="K35"/>
  <c r="I74"/>
  <c r="C4" s="1"/>
  <c r="K31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I74" i="9"/>
  <c r="C4" s="1"/>
  <c r="E3"/>
  <c r="E5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I74" i="8"/>
  <c r="C6" s="1"/>
  <c r="F6" s="1"/>
  <c r="E3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I74" i="4"/>
  <c r="C4" s="1"/>
  <c r="E3"/>
  <c r="E5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I74" i="3"/>
  <c r="C5" s="1"/>
  <c r="P11" s="1"/>
  <c r="K13"/>
  <c r="K15"/>
  <c r="K17"/>
  <c r="K19"/>
  <c r="K20"/>
  <c r="K22"/>
  <c r="K24"/>
  <c r="K25"/>
  <c r="K27"/>
  <c r="K29"/>
  <c r="K34"/>
  <c r="E3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4"/>
  <c r="K16"/>
  <c r="K18"/>
  <c r="K21"/>
  <c r="K23"/>
  <c r="K26"/>
  <c r="K28"/>
  <c r="K30"/>
  <c r="K38"/>
  <c r="K42"/>
  <c r="K46"/>
  <c r="K50"/>
  <c r="K54"/>
  <c r="K58"/>
  <c r="K62"/>
  <c r="K66"/>
  <c r="I74" i="2"/>
  <c r="C5" s="1"/>
  <c r="P11" s="1"/>
  <c r="E5"/>
  <c r="I4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F6" i="5" l="1"/>
  <c r="F3"/>
  <c r="G3" s="1"/>
  <c r="F4"/>
  <c r="G4" s="1"/>
  <c r="C4"/>
  <c r="C6" i="6"/>
  <c r="F6" s="1"/>
  <c r="F3"/>
  <c r="G3" s="1"/>
  <c r="F4"/>
  <c r="G4" s="1"/>
  <c r="K4"/>
  <c r="I4"/>
  <c r="K3"/>
  <c r="I3"/>
  <c r="K4" i="5"/>
  <c r="I4"/>
  <c r="F5"/>
  <c r="G5" s="1"/>
  <c r="P18" s="1"/>
  <c r="K3"/>
  <c r="I3"/>
  <c r="C5" i="10"/>
  <c r="P11" s="1"/>
  <c r="C6"/>
  <c r="F4" s="1"/>
  <c r="G4" s="1"/>
  <c r="K3"/>
  <c r="I3"/>
  <c r="K4"/>
  <c r="C6" i="9"/>
  <c r="C5"/>
  <c r="P11" s="1"/>
  <c r="K4"/>
  <c r="I4"/>
  <c r="K3"/>
  <c r="I3"/>
  <c r="C4" i="8"/>
  <c r="C5"/>
  <c r="P11" s="1"/>
  <c r="F4"/>
  <c r="G4" s="1"/>
  <c r="F3"/>
  <c r="G3" s="1"/>
  <c r="E5"/>
  <c r="C5" i="4"/>
  <c r="P11" s="1"/>
  <c r="C6"/>
  <c r="K4"/>
  <c r="I4"/>
  <c r="K3"/>
  <c r="I3"/>
  <c r="C4" i="3"/>
  <c r="C6"/>
  <c r="F3" s="1"/>
  <c r="G3" s="1"/>
  <c r="E5"/>
  <c r="I3" s="1"/>
  <c r="C6" i="2"/>
  <c r="F6" s="1"/>
  <c r="C4"/>
  <c r="K3"/>
  <c r="I3"/>
  <c r="K4"/>
  <c r="F3" l="1"/>
  <c r="G3" s="1"/>
  <c r="F5" i="6"/>
  <c r="G5" s="1"/>
  <c r="P22" s="1"/>
  <c r="P23" s="1"/>
  <c r="P26" s="1"/>
  <c r="F10"/>
  <c r="H4" i="5"/>
  <c r="H3"/>
  <c r="L3" s="1"/>
  <c r="J4"/>
  <c r="L4"/>
  <c r="P20"/>
  <c r="P24" s="1"/>
  <c r="P19"/>
  <c r="P21" s="1"/>
  <c r="P25" s="1"/>
  <c r="F8"/>
  <c r="P22"/>
  <c r="P23" s="1"/>
  <c r="P26" s="1"/>
  <c r="P12"/>
  <c r="F10"/>
  <c r="F7"/>
  <c r="F6" i="10"/>
  <c r="F3"/>
  <c r="G3" s="1"/>
  <c r="F6" i="9"/>
  <c r="F4"/>
  <c r="G4" s="1"/>
  <c r="F3"/>
  <c r="G3" s="1"/>
  <c r="F5" i="8"/>
  <c r="G5" s="1"/>
  <c r="K4"/>
  <c r="I4"/>
  <c r="K3"/>
  <c r="I3"/>
  <c r="F6" i="4"/>
  <c r="F4"/>
  <c r="G4" s="1"/>
  <c r="F3"/>
  <c r="G3" s="1"/>
  <c r="F6" i="3"/>
  <c r="F4"/>
  <c r="G4" s="1"/>
  <c r="K4"/>
  <c r="I4"/>
  <c r="K3"/>
  <c r="F4" i="2"/>
  <c r="G4" s="1"/>
  <c r="P12" i="6" l="1"/>
  <c r="F7"/>
  <c r="P14" s="1"/>
  <c r="F8"/>
  <c r="H9" s="1"/>
  <c r="P18"/>
  <c r="H4"/>
  <c r="H3"/>
  <c r="P20"/>
  <c r="P24" s="1"/>
  <c r="P19"/>
  <c r="P21" s="1"/>
  <c r="P25" s="1"/>
  <c r="P13"/>
  <c r="P15"/>
  <c r="P16"/>
  <c r="P17"/>
  <c r="J3" i="5"/>
  <c r="P14"/>
  <c r="P13"/>
  <c r="P15"/>
  <c r="H9"/>
  <c r="F9"/>
  <c r="P16"/>
  <c r="P17"/>
  <c r="P28"/>
  <c r="P29" s="1"/>
  <c r="P27"/>
  <c r="F5" i="10"/>
  <c r="G5" s="1"/>
  <c r="H3" s="1"/>
  <c r="F5" i="9"/>
  <c r="G5" s="1"/>
  <c r="P18" s="1"/>
  <c r="P19" s="1"/>
  <c r="P21" s="1"/>
  <c r="P25" s="1"/>
  <c r="P28"/>
  <c r="P29" s="1"/>
  <c r="P27"/>
  <c r="F8" i="8"/>
  <c r="P22"/>
  <c r="P23" s="1"/>
  <c r="P26" s="1"/>
  <c r="P12"/>
  <c r="F10"/>
  <c r="F7"/>
  <c r="P18"/>
  <c r="H3"/>
  <c r="H4"/>
  <c r="F5" i="4"/>
  <c r="G5" s="1"/>
  <c r="P18" s="1"/>
  <c r="P19" s="1"/>
  <c r="P21" s="1"/>
  <c r="P25" s="1"/>
  <c r="F5" i="3"/>
  <c r="G5" s="1"/>
  <c r="P18" s="1"/>
  <c r="F5" i="2"/>
  <c r="G5" s="1"/>
  <c r="P18" s="1"/>
  <c r="P20" s="1"/>
  <c r="P24" s="1"/>
  <c r="P19"/>
  <c r="P21" s="1"/>
  <c r="P25" s="1"/>
  <c r="F8"/>
  <c r="P22"/>
  <c r="P23" s="1"/>
  <c r="P26" s="1"/>
  <c r="F10"/>
  <c r="F7"/>
  <c r="F7" i="4" l="1"/>
  <c r="P27"/>
  <c r="P22"/>
  <c r="P23" s="1"/>
  <c r="P26" s="1"/>
  <c r="H3"/>
  <c r="J3" s="1"/>
  <c r="P12"/>
  <c r="F10"/>
  <c r="H4"/>
  <c r="L4" s="1"/>
  <c r="P28"/>
  <c r="P29" s="1"/>
  <c r="P20"/>
  <c r="P24" s="1"/>
  <c r="F8"/>
  <c r="P15" s="1"/>
  <c r="F7" i="3"/>
  <c r="P14" s="1"/>
  <c r="F8"/>
  <c r="P16" s="1"/>
  <c r="P22" i="9"/>
  <c r="P23" s="1"/>
  <c r="P26" s="1"/>
  <c r="F9" i="6"/>
  <c r="P12" i="2"/>
  <c r="P16" i="4"/>
  <c r="F10" i="9"/>
  <c r="J3" i="6"/>
  <c r="L3"/>
  <c r="L4"/>
  <c r="J4"/>
  <c r="P28"/>
  <c r="P29" s="1"/>
  <c r="P27"/>
  <c r="F8" i="10"/>
  <c r="P12"/>
  <c r="H4"/>
  <c r="J4" s="1"/>
  <c r="F7"/>
  <c r="P14" s="1"/>
  <c r="J3"/>
  <c r="L3"/>
  <c r="F10"/>
  <c r="P18"/>
  <c r="P22"/>
  <c r="P23" s="1"/>
  <c r="P26" s="1"/>
  <c r="P20" i="9"/>
  <c r="P24" s="1"/>
  <c r="H3"/>
  <c r="L3" s="1"/>
  <c r="H4"/>
  <c r="P12"/>
  <c r="F7"/>
  <c r="F8"/>
  <c r="P20" i="8"/>
  <c r="P24" s="1"/>
  <c r="P19"/>
  <c r="P21" s="1"/>
  <c r="P25" s="1"/>
  <c r="J3"/>
  <c r="L3"/>
  <c r="J4"/>
  <c r="L4"/>
  <c r="P14"/>
  <c r="P13"/>
  <c r="P15"/>
  <c r="H9"/>
  <c r="F9"/>
  <c r="P16"/>
  <c r="P17"/>
  <c r="L3" i="4"/>
  <c r="P12" i="3"/>
  <c r="H4"/>
  <c r="P22"/>
  <c r="P23" s="1"/>
  <c r="P26" s="1"/>
  <c r="H3"/>
  <c r="F10"/>
  <c r="F9"/>
  <c r="P20"/>
  <c r="P24" s="1"/>
  <c r="P19"/>
  <c r="P21" s="1"/>
  <c r="H4" i="2"/>
  <c r="H3"/>
  <c r="P14"/>
  <c r="P13"/>
  <c r="P15"/>
  <c r="P16"/>
  <c r="H9"/>
  <c r="P17"/>
  <c r="F9"/>
  <c r="P28"/>
  <c r="P29" s="1"/>
  <c r="P27"/>
  <c r="P14" i="4" l="1"/>
  <c r="P13"/>
  <c r="J4"/>
  <c r="H9"/>
  <c r="F9"/>
  <c r="P17"/>
  <c r="H9" i="3"/>
  <c r="P13"/>
  <c r="P17"/>
  <c r="P15"/>
  <c r="L4" i="10"/>
  <c r="P15"/>
  <c r="F9"/>
  <c r="P16"/>
  <c r="P17"/>
  <c r="H9"/>
  <c r="P13"/>
  <c r="P19"/>
  <c r="P21" s="1"/>
  <c r="P25" s="1"/>
  <c r="P20"/>
  <c r="P24" s="1"/>
  <c r="P15" i="9"/>
  <c r="P17"/>
  <c r="P16"/>
  <c r="F9"/>
  <c r="H9"/>
  <c r="L4"/>
  <c r="J4"/>
  <c r="P13"/>
  <c r="P14"/>
  <c r="J3"/>
  <c r="P28" i="8"/>
  <c r="P29" s="1"/>
  <c r="P27"/>
  <c r="L4" i="3"/>
  <c r="J4"/>
  <c r="L3"/>
  <c r="J3"/>
  <c r="P27"/>
  <c r="P25"/>
  <c r="P28"/>
  <c r="P29" s="1"/>
  <c r="L4" i="2"/>
  <c r="J4"/>
  <c r="J3"/>
  <c r="L3"/>
  <c r="P28" i="10" l="1"/>
  <c r="P29" s="1"/>
  <c r="P27"/>
</calcChain>
</file>

<file path=xl/sharedStrings.xml><?xml version="1.0" encoding="utf-8"?>
<sst xmlns="http://schemas.openxmlformats.org/spreadsheetml/2006/main" count="531" uniqueCount="107">
  <si>
    <t>Rep</t>
  </si>
  <si>
    <t>Plot No.</t>
  </si>
  <si>
    <t>Entry No.</t>
  </si>
  <si>
    <t>Genotype</t>
  </si>
  <si>
    <t>Mean PHT</t>
  </si>
  <si>
    <t>Plot Yield</t>
  </si>
  <si>
    <t>mean YLD/plant</t>
  </si>
  <si>
    <t>NA ppm</t>
  </si>
  <si>
    <t>NA me/lit</t>
  </si>
  <si>
    <t>K ppm</t>
  </si>
  <si>
    <t>K me/lit</t>
  </si>
  <si>
    <t>KNA</t>
  </si>
  <si>
    <t>CL</t>
  </si>
  <si>
    <t>Sugar mg/g</t>
  </si>
  <si>
    <t>Leaf area</t>
  </si>
  <si>
    <t>Leaf Fresh wt</t>
  </si>
  <si>
    <t xml:space="preserve">Leaf Dry wt </t>
  </si>
  <si>
    <t>CNA-347</t>
  </si>
  <si>
    <t>CNA-375</t>
  </si>
  <si>
    <t>CNA-398</t>
  </si>
  <si>
    <t>GBav 109</t>
  </si>
  <si>
    <t>GBav 120</t>
  </si>
  <si>
    <t>GBav 124</t>
  </si>
  <si>
    <t>GBav 131</t>
  </si>
  <si>
    <t>Gheti</t>
  </si>
  <si>
    <t>DTS-123</t>
  </si>
  <si>
    <t>IC371099</t>
  </si>
  <si>
    <t>GVhv 235</t>
  </si>
  <si>
    <t>GVhv 682</t>
  </si>
  <si>
    <t>GBhv 287</t>
  </si>
  <si>
    <t>GBhv 297</t>
  </si>
  <si>
    <t>GBhv 305</t>
  </si>
  <si>
    <t>Digvijay</t>
  </si>
  <si>
    <t>GBhv 280</t>
  </si>
  <si>
    <t>GBhv 293</t>
  </si>
  <si>
    <t>GBhv 291</t>
  </si>
  <si>
    <t>GBhv 306</t>
  </si>
  <si>
    <t>GBhv 233/09</t>
  </si>
  <si>
    <t>GBhv 433/08</t>
  </si>
  <si>
    <t>GBhv 464/08</t>
  </si>
  <si>
    <t>GBhv 538/08</t>
  </si>
  <si>
    <t>GBhv 280/11</t>
  </si>
  <si>
    <t>G Cot 23</t>
  </si>
  <si>
    <t>G Cot 25</t>
  </si>
  <si>
    <t>Bt Hybrid</t>
  </si>
  <si>
    <t>G Cot DH-7</t>
  </si>
  <si>
    <t>G Cot DH-9</t>
  </si>
  <si>
    <t>S.No.</t>
  </si>
  <si>
    <t>Plant Height (cm)</t>
  </si>
  <si>
    <t>Seed Cotton Yield per plant (g)</t>
  </si>
  <si>
    <r>
      <t>Na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</si>
  <si>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K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</si>
  <si>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K/Na ratio</t>
  </si>
  <si>
    <r>
      <t>Cl (meqL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</si>
  <si>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ANOVA</t>
  </si>
  <si>
    <t>Treatments</t>
  </si>
  <si>
    <t xml:space="preserve">SOURCE </t>
  </si>
  <si>
    <t>d.f.</t>
  </si>
  <si>
    <t>S.S.</t>
  </si>
  <si>
    <t>M.S.</t>
  </si>
  <si>
    <t>cal-f</t>
  </si>
  <si>
    <t>table f (0.05)</t>
  </si>
  <si>
    <t>Interpretation</t>
  </si>
  <si>
    <t>table f (0.01)</t>
  </si>
  <si>
    <t>PROB&gt;F</t>
  </si>
  <si>
    <t>Replications</t>
  </si>
  <si>
    <t>Replication</t>
  </si>
  <si>
    <t>Grand Total</t>
  </si>
  <si>
    <t>Mean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</si>
  <si>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</si>
  <si>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</si>
  <si>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</si>
  <si>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</si>
  <si>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</si>
  <si>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</si>
  <si>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</si>
  <si>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</si>
  <si>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</t>
  </si>
  <si>
    <t>REP-II</t>
  </si>
  <si>
    <t>REP-III</t>
  </si>
  <si>
    <t xml:space="preserve">Total </t>
  </si>
  <si>
    <t>S.E.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</si>
  <si>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</si>
  <si>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</si>
  <si>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</si>
  <si>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</si>
  <si>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</si>
  <si>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</si>
  <si>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</si>
  <si>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</si>
  <si>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</si>
  <si>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</si>
  <si>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</si>
  <si>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</si>
  <si>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</si>
  <si>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</si>
  <si>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</si>
  <si>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</si>
  <si>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</si>
  <si>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Total</t>
  </si>
  <si>
    <r>
      <t>Leaf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</si>
  <si>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Total Sugar (mg/g) D. W.</t>
  </si>
  <si>
    <t>S.D.</t>
  </si>
  <si>
    <t>C.V.</t>
  </si>
  <si>
    <t>C.D. (5%)</t>
  </si>
  <si>
    <t>Seed Cotton Yield per Plot (Kg)</t>
  </si>
  <si>
    <t>NS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</si>
</sst>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/>
    <xf numFmtId="0" fontId="5" fillId="0" borderId="0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8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8" fillId="3" borderId="1" xfId="0" applyFont="1" applyFill="1" applyBorder="1" applyProtection="1"/>
    <xf numFmtId="0" fontId="8" fillId="0" borderId="0" xfId="0" applyFont="1" applyBorder="1" applyProtection="1"/>
    <xf numFmtId="0" fontId="5" fillId="3" borderId="1" xfId="0" applyFont="1" applyFill="1" applyBorder="1" applyProtection="1"/>
    <xf numFmtId="2" fontId="5" fillId="4" borderId="1" xfId="0" applyNumberFormat="1" applyFont="1" applyFill="1" applyBorder="1" applyProtection="1"/>
    <xf numFmtId="164" fontId="5" fillId="4" borderId="1" xfId="0" applyNumberFormat="1" applyFont="1" applyFill="1" applyBorder="1" applyProtection="1"/>
    <xf numFmtId="0" fontId="5" fillId="0" borderId="1" xfId="0" applyFont="1" applyBorder="1" applyProtection="1"/>
    <xf numFmtId="2" fontId="5" fillId="2" borderId="1" xfId="0" applyNumberFormat="1" applyFont="1" applyFill="1" applyBorder="1" applyAlignment="1" applyProtection="1">
      <alignment horizontal="center"/>
    </xf>
    <xf numFmtId="2" fontId="5" fillId="0" borderId="0" xfId="0" applyNumberFormat="1" applyFont="1" applyBorder="1" applyProtection="1"/>
    <xf numFmtId="2" fontId="5" fillId="3" borderId="1" xfId="0" applyNumberFormat="1" applyFont="1" applyFill="1" applyBorder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Protection="1"/>
    <xf numFmtId="2" fontId="5" fillId="0" borderId="1" xfId="0" applyNumberFormat="1" applyFont="1" applyFill="1" applyBorder="1" applyProtection="1"/>
    <xf numFmtId="2" fontId="5" fillId="0" borderId="0" xfId="0" applyNumberFormat="1" applyFont="1" applyFill="1" applyBorder="1" applyProtection="1"/>
    <xf numFmtId="2" fontId="5" fillId="0" borderId="1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165" fontId="5" fillId="0" borderId="1" xfId="0" applyNumberFormat="1" applyFont="1" applyBorder="1" applyProtection="1"/>
    <xf numFmtId="0" fontId="8" fillId="5" borderId="4" xfId="0" applyFont="1" applyFill="1" applyBorder="1" applyProtection="1"/>
    <xf numFmtId="2" fontId="5" fillId="5" borderId="5" xfId="0" applyNumberFormat="1" applyFont="1" applyFill="1" applyBorder="1" applyProtection="1"/>
    <xf numFmtId="0" fontId="8" fillId="6" borderId="1" xfId="0" applyFont="1" applyFill="1" applyBorder="1" applyProtection="1"/>
    <xf numFmtId="0" fontId="8" fillId="5" borderId="6" xfId="0" applyFont="1" applyFill="1" applyBorder="1" applyProtection="1"/>
    <xf numFmtId="2" fontId="5" fillId="5" borderId="7" xfId="0" applyNumberFormat="1" applyFont="1" applyFill="1" applyBorder="1" applyProtection="1"/>
    <xf numFmtId="0" fontId="1" fillId="7" borderId="1" xfId="0" applyFont="1" applyFill="1" applyBorder="1" applyAlignment="1" applyProtection="1">
      <alignment horizontal="center"/>
    </xf>
    <xf numFmtId="2" fontId="0" fillId="0" borderId="0" xfId="0" applyNumberFormat="1"/>
    <xf numFmtId="0" fontId="0" fillId="0" borderId="0" xfId="0" applyProtection="1">
      <protection locked="0"/>
    </xf>
    <xf numFmtId="2" fontId="5" fillId="8" borderId="1" xfId="0" applyNumberFormat="1" applyFont="1" applyFill="1" applyBorder="1" applyProtection="1"/>
    <xf numFmtId="166" fontId="8" fillId="9" borderId="1" xfId="0" applyNumberFormat="1" applyFont="1" applyFill="1" applyBorder="1" applyProtection="1"/>
    <xf numFmtId="166" fontId="5" fillId="3" borderId="1" xfId="0" applyNumberFormat="1" applyFont="1" applyFill="1" applyBorder="1" applyProtection="1"/>
    <xf numFmtId="0" fontId="5" fillId="0" borderId="0" xfId="0" applyFont="1" applyBorder="1" applyProtection="1">
      <protection locked="0"/>
    </xf>
    <xf numFmtId="0" fontId="8" fillId="5" borderId="8" xfId="0" applyFont="1" applyFill="1" applyBorder="1" applyProtection="1"/>
    <xf numFmtId="2" fontId="5" fillId="5" borderId="9" xfId="0" applyNumberFormat="1" applyFont="1" applyFill="1" applyBorder="1" applyProtection="1"/>
    <xf numFmtId="2" fontId="9" fillId="0" borderId="0" xfId="0" applyNumberFormat="1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Protection="1"/>
    <xf numFmtId="166" fontId="8" fillId="0" borderId="1" xfId="0" applyNumberFormat="1" applyFont="1" applyBorder="1" applyProtection="1"/>
    <xf numFmtId="2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0"/>
  <c:chart>
    <c:title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'Final Table'!$G$1</c:f>
              <c:strCache>
                <c:ptCount val="1"/>
                <c:pt idx="0">
                  <c:v>Seed Cotton Yield per Plot (Kg)</c:v>
                </c:pt>
              </c:strCache>
            </c:strRef>
          </c:tx>
          <c:errBars>
            <c:errBarType val="plus"/>
            <c:errValType val="cust"/>
            <c:plus>
              <c:numRef>
                <c:f>'Final Table'!$H$2:$H$31</c:f>
                <c:numCache>
                  <c:formatCode>General</c:formatCode>
                  <c:ptCount val="30"/>
                  <c:pt idx="0">
                    <c:v>7.0000000000000053E-3</c:v>
                  </c:pt>
                  <c:pt idx="1">
                    <c:v>2.1999999999998382E-2</c:v>
                  </c:pt>
                  <c:pt idx="2">
                    <c:v>2.1000000000000019E-2</c:v>
                  </c:pt>
                  <c:pt idx="3">
                    <c:v>9.5000000000000029E-2</c:v>
                  </c:pt>
                  <c:pt idx="4">
                    <c:v>7.599999999999929E-2</c:v>
                  </c:pt>
                  <c:pt idx="5">
                    <c:v>2.600000000000019E-2</c:v>
                  </c:pt>
                  <c:pt idx="6">
                    <c:v>6.6000000000001877E-2</c:v>
                  </c:pt>
                  <c:pt idx="7">
                    <c:v>9.1999999999999527E-2</c:v>
                  </c:pt>
                  <c:pt idx="8">
                    <c:v>5.4999999999999931E-2</c:v>
                  </c:pt>
                  <c:pt idx="9">
                    <c:v>5.5999999999999994E-2</c:v>
                  </c:pt>
                  <c:pt idx="10">
                    <c:v>5.099999999999992E-2</c:v>
                  </c:pt>
                  <c:pt idx="11">
                    <c:v>2.7999999999999622E-2</c:v>
                  </c:pt>
                  <c:pt idx="12">
                    <c:v>7.900000000000014E-2</c:v>
                  </c:pt>
                  <c:pt idx="13">
                    <c:v>7.0000000000000506E-2</c:v>
                  </c:pt>
                  <c:pt idx="14">
                    <c:v>3.7999999999999645E-2</c:v>
                  </c:pt>
                  <c:pt idx="15">
                    <c:v>2.8999999999999665E-2</c:v>
                  </c:pt>
                  <c:pt idx="16">
                    <c:v>3.6000000000000268E-2</c:v>
                  </c:pt>
                  <c:pt idx="17">
                    <c:v>4.6999999999999945E-2</c:v>
                  </c:pt>
                  <c:pt idx="18">
                    <c:v>3.4000000000000676E-2</c:v>
                  </c:pt>
                  <c:pt idx="19">
                    <c:v>8.0000000000000071E-3</c:v>
                  </c:pt>
                  <c:pt idx="20">
                    <c:v>7.5999999999999832E-2</c:v>
                  </c:pt>
                  <c:pt idx="21">
                    <c:v>1.100000000000001E-2</c:v>
                  </c:pt>
                  <c:pt idx="22">
                    <c:v>2.9000000000001577E-2</c:v>
                  </c:pt>
                  <c:pt idx="23">
                    <c:v>1.0000000000000009E-3</c:v>
                  </c:pt>
                  <c:pt idx="24">
                    <c:v>6.7999999999999908E-2</c:v>
                  </c:pt>
                  <c:pt idx="25">
                    <c:v>3.0000000000002046E-2</c:v>
                  </c:pt>
                  <c:pt idx="26">
                    <c:v>8.1000000000000058E-2</c:v>
                  </c:pt>
                  <c:pt idx="27">
                    <c:v>7.4999999999999942E-2</c:v>
                  </c:pt>
                  <c:pt idx="28">
                    <c:v>2.900000000000014E-2</c:v>
                  </c:pt>
                  <c:pt idx="29">
                    <c:v>1.6000000000000191E-2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'Final Table'!$B$2:$B$31</c:f>
              <c:strCache>
                <c:ptCount val="30"/>
                <c:pt idx="0">
                  <c:v>CNA-347</c:v>
                </c:pt>
                <c:pt idx="1">
                  <c:v>CNA-375</c:v>
                </c:pt>
                <c:pt idx="2">
                  <c:v>CNA-398</c:v>
                </c:pt>
                <c:pt idx="3">
                  <c:v>GBav 109</c:v>
                </c:pt>
                <c:pt idx="4">
                  <c:v>GBav 120</c:v>
                </c:pt>
                <c:pt idx="5">
                  <c:v>GBav 124</c:v>
                </c:pt>
                <c:pt idx="6">
                  <c:v>GBav 131</c:v>
                </c:pt>
                <c:pt idx="7">
                  <c:v>Gheti</c:v>
                </c:pt>
                <c:pt idx="8">
                  <c:v>DTS-123</c:v>
                </c:pt>
                <c:pt idx="9">
                  <c:v>IC371099</c:v>
                </c:pt>
                <c:pt idx="10">
                  <c:v>GVhv 235</c:v>
                </c:pt>
                <c:pt idx="11">
                  <c:v>GVhv 682</c:v>
                </c:pt>
                <c:pt idx="12">
                  <c:v>GBhv 287</c:v>
                </c:pt>
                <c:pt idx="13">
                  <c:v>GBhv 297</c:v>
                </c:pt>
                <c:pt idx="14">
                  <c:v>GBhv 305</c:v>
                </c:pt>
                <c:pt idx="15">
                  <c:v>Digvijay</c:v>
                </c:pt>
                <c:pt idx="16">
                  <c:v>GBhv 280</c:v>
                </c:pt>
                <c:pt idx="17">
                  <c:v>GBhv 293</c:v>
                </c:pt>
                <c:pt idx="18">
                  <c:v>GBhv 291</c:v>
                </c:pt>
                <c:pt idx="19">
                  <c:v>GBhv 306</c:v>
                </c:pt>
                <c:pt idx="20">
                  <c:v>GBhv 233/09</c:v>
                </c:pt>
                <c:pt idx="21">
                  <c:v>GBhv 433/08</c:v>
                </c:pt>
                <c:pt idx="22">
                  <c:v>GBhv 464/08</c:v>
                </c:pt>
                <c:pt idx="23">
                  <c:v>GBhv 538/08</c:v>
                </c:pt>
                <c:pt idx="24">
                  <c:v>GBhv 280/11</c:v>
                </c:pt>
                <c:pt idx="25">
                  <c:v>G Cot 23</c:v>
                </c:pt>
                <c:pt idx="26">
                  <c:v>G Cot 25</c:v>
                </c:pt>
                <c:pt idx="27">
                  <c:v>Bt Hybrid</c:v>
                </c:pt>
                <c:pt idx="28">
                  <c:v>G Cot DH-7</c:v>
                </c:pt>
                <c:pt idx="29">
                  <c:v>G Cot DH-9</c:v>
                </c:pt>
              </c:strCache>
            </c:strRef>
          </c:cat>
          <c:val>
            <c:numRef>
              <c:f>'Final Table'!$G$2:$G$31</c:f>
              <c:numCache>
                <c:formatCode>0.00</c:formatCode>
                <c:ptCount val="30"/>
                <c:pt idx="0">
                  <c:v>0.72299999999999998</c:v>
                </c:pt>
                <c:pt idx="1">
                  <c:v>0.90800000000000003</c:v>
                </c:pt>
                <c:pt idx="2">
                  <c:v>1.1949999999999998</c:v>
                </c:pt>
                <c:pt idx="3">
                  <c:v>0.44500000000000001</c:v>
                </c:pt>
                <c:pt idx="4">
                  <c:v>0.81400000000000006</c:v>
                </c:pt>
                <c:pt idx="5">
                  <c:v>0.65200000000000002</c:v>
                </c:pt>
                <c:pt idx="6">
                  <c:v>1.0979999999999999</c:v>
                </c:pt>
                <c:pt idx="7">
                  <c:v>0.81400000000000006</c:v>
                </c:pt>
                <c:pt idx="8">
                  <c:v>0.23899999999999999</c:v>
                </c:pt>
                <c:pt idx="9">
                  <c:v>0.30399999999999999</c:v>
                </c:pt>
                <c:pt idx="10">
                  <c:v>0.28100000000000003</c:v>
                </c:pt>
                <c:pt idx="11">
                  <c:v>0.28800000000000003</c:v>
                </c:pt>
                <c:pt idx="12">
                  <c:v>0.44900000000000001</c:v>
                </c:pt>
                <c:pt idx="13">
                  <c:v>0.65999999999999992</c:v>
                </c:pt>
                <c:pt idx="14">
                  <c:v>0.27800000000000002</c:v>
                </c:pt>
                <c:pt idx="15">
                  <c:v>0.42900000000000005</c:v>
                </c:pt>
                <c:pt idx="16">
                  <c:v>0.34399999999999997</c:v>
                </c:pt>
                <c:pt idx="17">
                  <c:v>0.247</c:v>
                </c:pt>
                <c:pt idx="18">
                  <c:v>0.45599999999999996</c:v>
                </c:pt>
                <c:pt idx="19">
                  <c:v>0.73799999999999999</c:v>
                </c:pt>
                <c:pt idx="20">
                  <c:v>0.40600000000000003</c:v>
                </c:pt>
                <c:pt idx="21">
                  <c:v>0.90300000000000002</c:v>
                </c:pt>
                <c:pt idx="22">
                  <c:v>0.81899999999999995</c:v>
                </c:pt>
                <c:pt idx="23">
                  <c:v>0.33900000000000002</c:v>
                </c:pt>
                <c:pt idx="24">
                  <c:v>0.308</c:v>
                </c:pt>
                <c:pt idx="25">
                  <c:v>0.91399999999999992</c:v>
                </c:pt>
                <c:pt idx="26">
                  <c:v>0.379</c:v>
                </c:pt>
                <c:pt idx="27">
                  <c:v>0.437</c:v>
                </c:pt>
                <c:pt idx="28">
                  <c:v>0.36299999999999999</c:v>
                </c:pt>
                <c:pt idx="29">
                  <c:v>0.436</c:v>
                </c:pt>
              </c:numCache>
            </c:numRef>
          </c:val>
        </c:ser>
        <c:axId val="112025984"/>
        <c:axId val="112027520"/>
      </c:barChart>
      <c:catAx>
        <c:axId val="112025984"/>
        <c:scaling>
          <c:orientation val="minMax"/>
        </c:scaling>
        <c:axPos val="b"/>
        <c:tickLblPos val="nextTo"/>
        <c:spPr>
          <a:solidFill>
            <a:schemeClr val="accent6">
              <a:lumMod val="20000"/>
              <a:lumOff val="80000"/>
            </a:schemeClr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112027520"/>
        <c:crosses val="autoZero"/>
        <c:auto val="1"/>
        <c:lblAlgn val="ctr"/>
        <c:lblOffset val="100"/>
      </c:catAx>
      <c:valAx>
        <c:axId val="112027520"/>
        <c:scaling>
          <c:orientation val="minMax"/>
        </c:scaling>
        <c:axPos val="l"/>
        <c:numFmt formatCode="0.00" sourceLinked="1"/>
        <c:tickLblPos val="nextTo"/>
        <c:crossAx val="112025984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0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'Final Table'!$E$1</c:f>
              <c:strCache>
                <c:ptCount val="1"/>
                <c:pt idx="0">
                  <c:v>Seed Cotton Yield per plant (g)</c:v>
                </c:pt>
              </c:strCache>
            </c:strRef>
          </c:tx>
          <c:errBars>
            <c:errBarType val="plus"/>
            <c:errValType val="cust"/>
            <c:plus>
              <c:numRef>
                <c:f>'Final Table'!$F$2:$F$31</c:f>
                <c:numCache>
                  <c:formatCode>General</c:formatCode>
                  <c:ptCount val="30"/>
                  <c:pt idx="0">
                    <c:v>2.3999999999999506</c:v>
                  </c:pt>
                  <c:pt idx="1">
                    <c:v>3.6000000000000045</c:v>
                  </c:pt>
                  <c:pt idx="2">
                    <c:v>2.6000000000000418</c:v>
                  </c:pt>
                  <c:pt idx="3">
                    <c:v>5.4000000000001549</c:v>
                  </c:pt>
                  <c:pt idx="4">
                    <c:v>4.2000000000000384</c:v>
                  </c:pt>
                  <c:pt idx="5">
                    <c:v>2.5</c:v>
                  </c:pt>
                  <c:pt idx="6">
                    <c:v>5</c:v>
                  </c:pt>
                  <c:pt idx="7">
                    <c:v>5.4000000000000705</c:v>
                  </c:pt>
                  <c:pt idx="8">
                    <c:v>1.3999999999998505</c:v>
                  </c:pt>
                  <c:pt idx="9">
                    <c:v>1.7999999999999392</c:v>
                  </c:pt>
                  <c:pt idx="10">
                    <c:v>1.3999999999999317</c:v>
                  </c:pt>
                  <c:pt idx="11">
                    <c:v>1.2000000000002122</c:v>
                  </c:pt>
                  <c:pt idx="12">
                    <c:v>0.39999999999981806</c:v>
                  </c:pt>
                  <c:pt idx="13">
                    <c:v>2.0000000000000568</c:v>
                  </c:pt>
                  <c:pt idx="14">
                    <c:v>2.2000000000000073</c:v>
                  </c:pt>
                  <c:pt idx="15">
                    <c:v>0.2000000000010459</c:v>
                  </c:pt>
                  <c:pt idx="16">
                    <c:v>1.7999999999999392</c:v>
                  </c:pt>
                  <c:pt idx="17">
                    <c:v>1.4000000000000128</c:v>
                  </c:pt>
                  <c:pt idx="18">
                    <c:v>2.3999999999999981</c:v>
                  </c:pt>
                  <c:pt idx="19">
                    <c:v>3.6000000000000045</c:v>
                  </c:pt>
                  <c:pt idx="20">
                    <c:v>2.1999999999999815</c:v>
                  </c:pt>
                  <c:pt idx="21">
                    <c:v>2.1999999999999296</c:v>
                  </c:pt>
                  <c:pt idx="22">
                    <c:v>3.2000000000001076</c:v>
                  </c:pt>
                  <c:pt idx="23">
                    <c:v>1.2000000000000226</c:v>
                  </c:pt>
                  <c:pt idx="24">
                    <c:v>0.60000000000010612</c:v>
                  </c:pt>
                  <c:pt idx="25">
                    <c:v>4.4000000000000146</c:v>
                  </c:pt>
                  <c:pt idx="26">
                    <c:v>0.60000000000005871</c:v>
                  </c:pt>
                  <c:pt idx="27">
                    <c:v>5.1999999999999966</c:v>
                  </c:pt>
                  <c:pt idx="28">
                    <c:v>0.7999999999999915</c:v>
                  </c:pt>
                  <c:pt idx="29">
                    <c:v>3.7999999999999772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'Final Table'!$B$2:$B$31</c:f>
              <c:strCache>
                <c:ptCount val="30"/>
                <c:pt idx="0">
                  <c:v>CNA-347</c:v>
                </c:pt>
                <c:pt idx="1">
                  <c:v>CNA-375</c:v>
                </c:pt>
                <c:pt idx="2">
                  <c:v>CNA-398</c:v>
                </c:pt>
                <c:pt idx="3">
                  <c:v>GBav 109</c:v>
                </c:pt>
                <c:pt idx="4">
                  <c:v>GBav 120</c:v>
                </c:pt>
                <c:pt idx="5">
                  <c:v>GBav 124</c:v>
                </c:pt>
                <c:pt idx="6">
                  <c:v>GBav 131</c:v>
                </c:pt>
                <c:pt idx="7">
                  <c:v>Gheti</c:v>
                </c:pt>
                <c:pt idx="8">
                  <c:v>DTS-123</c:v>
                </c:pt>
                <c:pt idx="9">
                  <c:v>IC371099</c:v>
                </c:pt>
                <c:pt idx="10">
                  <c:v>GVhv 235</c:v>
                </c:pt>
                <c:pt idx="11">
                  <c:v>GVhv 682</c:v>
                </c:pt>
                <c:pt idx="12">
                  <c:v>GBhv 287</c:v>
                </c:pt>
                <c:pt idx="13">
                  <c:v>GBhv 297</c:v>
                </c:pt>
                <c:pt idx="14">
                  <c:v>GBhv 305</c:v>
                </c:pt>
                <c:pt idx="15">
                  <c:v>Digvijay</c:v>
                </c:pt>
                <c:pt idx="16">
                  <c:v>GBhv 280</c:v>
                </c:pt>
                <c:pt idx="17">
                  <c:v>GBhv 293</c:v>
                </c:pt>
                <c:pt idx="18">
                  <c:v>GBhv 291</c:v>
                </c:pt>
                <c:pt idx="19">
                  <c:v>GBhv 306</c:v>
                </c:pt>
                <c:pt idx="20">
                  <c:v>GBhv 233/09</c:v>
                </c:pt>
                <c:pt idx="21">
                  <c:v>GBhv 433/08</c:v>
                </c:pt>
                <c:pt idx="22">
                  <c:v>GBhv 464/08</c:v>
                </c:pt>
                <c:pt idx="23">
                  <c:v>GBhv 538/08</c:v>
                </c:pt>
                <c:pt idx="24">
                  <c:v>GBhv 280/11</c:v>
                </c:pt>
                <c:pt idx="25">
                  <c:v>G Cot 23</c:v>
                </c:pt>
                <c:pt idx="26">
                  <c:v>G Cot 25</c:v>
                </c:pt>
                <c:pt idx="27">
                  <c:v>Bt Hybrid</c:v>
                </c:pt>
                <c:pt idx="28">
                  <c:v>G Cot DH-7</c:v>
                </c:pt>
                <c:pt idx="29">
                  <c:v>G Cot DH-9</c:v>
                </c:pt>
              </c:strCache>
            </c:strRef>
          </c:cat>
          <c:val>
            <c:numRef>
              <c:f>'Final Table'!$E$2:$E$31</c:f>
              <c:numCache>
                <c:formatCode>0.00</c:formatCode>
                <c:ptCount val="30"/>
                <c:pt idx="0">
                  <c:v>61.6</c:v>
                </c:pt>
                <c:pt idx="1">
                  <c:v>47.2</c:v>
                </c:pt>
                <c:pt idx="2">
                  <c:v>89</c:v>
                </c:pt>
                <c:pt idx="3">
                  <c:v>82.199999999999989</c:v>
                </c:pt>
                <c:pt idx="4">
                  <c:v>34.599999999999994</c:v>
                </c:pt>
                <c:pt idx="5">
                  <c:v>97.5</c:v>
                </c:pt>
                <c:pt idx="6">
                  <c:v>90</c:v>
                </c:pt>
                <c:pt idx="7">
                  <c:v>49.8</c:v>
                </c:pt>
                <c:pt idx="8">
                  <c:v>44.2</c:v>
                </c:pt>
                <c:pt idx="9">
                  <c:v>82.2</c:v>
                </c:pt>
                <c:pt idx="10">
                  <c:v>40.200000000000003</c:v>
                </c:pt>
                <c:pt idx="11">
                  <c:v>49.599999999999994</c:v>
                </c:pt>
                <c:pt idx="12">
                  <c:v>47.6</c:v>
                </c:pt>
                <c:pt idx="13">
                  <c:v>36.4</c:v>
                </c:pt>
                <c:pt idx="14">
                  <c:v>27</c:v>
                </c:pt>
                <c:pt idx="15">
                  <c:v>49.8</c:v>
                </c:pt>
                <c:pt idx="16">
                  <c:v>35.400000000000006</c:v>
                </c:pt>
                <c:pt idx="17">
                  <c:v>48.6</c:v>
                </c:pt>
                <c:pt idx="18">
                  <c:v>34.4</c:v>
                </c:pt>
                <c:pt idx="19">
                  <c:v>32.799999999999997</c:v>
                </c:pt>
                <c:pt idx="20">
                  <c:v>39.400000000000006</c:v>
                </c:pt>
                <c:pt idx="21">
                  <c:v>36.200000000000003</c:v>
                </c:pt>
                <c:pt idx="22">
                  <c:v>67.599999999999994</c:v>
                </c:pt>
                <c:pt idx="23">
                  <c:v>26.8</c:v>
                </c:pt>
                <c:pt idx="24">
                  <c:v>59</c:v>
                </c:pt>
                <c:pt idx="25">
                  <c:v>63.6</c:v>
                </c:pt>
                <c:pt idx="26">
                  <c:v>19.399999999999999</c:v>
                </c:pt>
                <c:pt idx="27">
                  <c:v>54.400000000000006</c:v>
                </c:pt>
                <c:pt idx="28">
                  <c:v>28.8</c:v>
                </c:pt>
                <c:pt idx="29">
                  <c:v>34.6</c:v>
                </c:pt>
              </c:numCache>
            </c:numRef>
          </c:val>
        </c:ser>
        <c:axId val="112060288"/>
        <c:axId val="112061824"/>
      </c:barChart>
      <c:catAx>
        <c:axId val="112060288"/>
        <c:scaling>
          <c:orientation val="minMax"/>
        </c:scaling>
        <c:axPos val="b"/>
        <c:tickLblPos val="nextTo"/>
        <c:spPr>
          <a:solidFill>
            <a:schemeClr val="accent6">
              <a:lumMod val="20000"/>
              <a:lumOff val="80000"/>
            </a:schemeClr>
          </a:solidFill>
        </c:spPr>
        <c:txPr>
          <a:bodyPr/>
          <a:lstStyle/>
          <a:p>
            <a:pPr>
              <a:defRPr b="1"/>
            </a:pPr>
            <a:endParaRPr lang="en-US"/>
          </a:p>
        </c:txPr>
        <c:crossAx val="112061824"/>
        <c:crosses val="autoZero"/>
        <c:auto val="1"/>
        <c:lblAlgn val="ctr"/>
        <c:lblOffset val="100"/>
      </c:catAx>
      <c:valAx>
        <c:axId val="112061824"/>
        <c:scaling>
          <c:orientation val="minMax"/>
        </c:scaling>
        <c:axPos val="l"/>
        <c:numFmt formatCode="0.00" sourceLinked="1"/>
        <c:tickLblPos val="nextTo"/>
        <c:crossAx val="11206028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6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9</xdr:col>
      <xdr:colOff>777875</xdr:colOff>
      <xdr:row>62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66</xdr:row>
      <xdr:rowOff>117929</xdr:rowOff>
    </xdr:from>
    <xdr:to>
      <xdr:col>10</xdr:col>
      <xdr:colOff>97518</xdr:colOff>
      <xdr:row>90</xdr:row>
      <xdr:rowOff>22679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R13" sqref="R13"/>
    </sheetView>
  </sheetViews>
  <sheetFormatPr defaultRowHeight="15"/>
  <cols>
    <col min="4" max="4" width="13.85546875" style="12" bestFit="1" customWidth="1"/>
    <col min="7" max="7" width="15.28515625" bestFit="1" customWidth="1"/>
  </cols>
  <sheetData>
    <row r="1" spans="1:17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s="4" t="s">
        <v>16</v>
      </c>
    </row>
    <row r="2" spans="1:17">
      <c r="A2" s="5">
        <v>1</v>
      </c>
      <c r="B2" s="5">
        <v>1</v>
      </c>
      <c r="C2" s="5">
        <v>1</v>
      </c>
      <c r="D2" s="6" t="s">
        <v>17</v>
      </c>
      <c r="E2">
        <v>146.4</v>
      </c>
      <c r="F2" s="7">
        <v>0.73</v>
      </c>
      <c r="G2">
        <v>64</v>
      </c>
      <c r="H2" s="7">
        <v>84.86</v>
      </c>
      <c r="I2">
        <v>3.6895652173913045</v>
      </c>
      <c r="J2">
        <v>302.7</v>
      </c>
      <c r="K2">
        <v>7.7615384615384615</v>
      </c>
      <c r="L2">
        <v>3.5670516144237565</v>
      </c>
      <c r="M2">
        <v>30.5</v>
      </c>
      <c r="N2">
        <v>2.687110957576142</v>
      </c>
      <c r="O2" s="8">
        <v>43.877500000000005</v>
      </c>
      <c r="P2" s="9">
        <v>7.02</v>
      </c>
      <c r="Q2" s="9">
        <v>2.17</v>
      </c>
    </row>
    <row r="3" spans="1:17">
      <c r="A3" s="5">
        <v>1</v>
      </c>
      <c r="B3" s="5">
        <v>2</v>
      </c>
      <c r="C3" s="5">
        <v>2</v>
      </c>
      <c r="D3" s="6" t="s">
        <v>18</v>
      </c>
      <c r="E3">
        <v>142.4</v>
      </c>
      <c r="F3" s="7">
        <v>0.48599999999999999</v>
      </c>
      <c r="G3">
        <v>50.8</v>
      </c>
      <c r="H3" s="7">
        <v>87.93</v>
      </c>
      <c r="I3">
        <v>3.8230434782608698</v>
      </c>
      <c r="J3">
        <v>166.70000000000002</v>
      </c>
      <c r="K3">
        <v>4.2743589743589752</v>
      </c>
      <c r="L3">
        <v>1.8958262254065734</v>
      </c>
      <c r="M3">
        <v>79.5</v>
      </c>
      <c r="N3">
        <v>1.4996681985365756</v>
      </c>
      <c r="O3" s="8">
        <v>23.060000000000002</v>
      </c>
      <c r="P3" s="9">
        <v>1.87</v>
      </c>
      <c r="Q3" s="9">
        <v>0.71499999999999997</v>
      </c>
    </row>
    <row r="4" spans="1:17">
      <c r="A4" s="5">
        <v>1</v>
      </c>
      <c r="B4" s="5">
        <v>3</v>
      </c>
      <c r="C4" s="5">
        <v>3</v>
      </c>
      <c r="D4" s="6" t="s">
        <v>19</v>
      </c>
      <c r="E4">
        <v>156.4</v>
      </c>
      <c r="F4" s="7">
        <v>0.374</v>
      </c>
      <c r="G4">
        <v>46.4</v>
      </c>
      <c r="H4" s="7">
        <v>73.790000000000006</v>
      </c>
      <c r="I4">
        <v>3.2082608695652177</v>
      </c>
      <c r="J4">
        <v>161.4</v>
      </c>
      <c r="K4">
        <v>4.1384615384615389</v>
      </c>
      <c r="L4">
        <v>2.1872882504404392</v>
      </c>
      <c r="M4">
        <v>87.5</v>
      </c>
      <c r="N4">
        <v>1.8075717255124064</v>
      </c>
      <c r="O4" s="8">
        <v>37.0625</v>
      </c>
      <c r="P4" s="9">
        <v>3.36</v>
      </c>
      <c r="Q4" s="9">
        <v>1.2250000000000001</v>
      </c>
    </row>
    <row r="5" spans="1:17">
      <c r="A5" s="5">
        <v>1</v>
      </c>
      <c r="B5" s="5">
        <v>4</v>
      </c>
      <c r="C5" s="5">
        <v>4</v>
      </c>
      <c r="D5" s="10" t="s">
        <v>20</v>
      </c>
      <c r="E5">
        <v>150.19999999999999</v>
      </c>
      <c r="F5" s="7">
        <v>0.15</v>
      </c>
      <c r="G5">
        <v>87.6</v>
      </c>
      <c r="H5" s="7">
        <v>91.54</v>
      </c>
      <c r="I5">
        <v>3.9800000000000004</v>
      </c>
      <c r="J5">
        <v>157.89999999999998</v>
      </c>
      <c r="K5">
        <v>4.0487179487179485</v>
      </c>
      <c r="L5">
        <v>1.7249289927900369</v>
      </c>
      <c r="M5">
        <v>42.5</v>
      </c>
      <c r="N5">
        <v>1.1988514140132218</v>
      </c>
      <c r="O5" s="8">
        <v>41.474999999999994</v>
      </c>
      <c r="P5" s="9">
        <v>3.33</v>
      </c>
      <c r="Q5" s="9">
        <v>1.1850000000000001</v>
      </c>
    </row>
    <row r="6" spans="1:17">
      <c r="A6" s="5">
        <v>1</v>
      </c>
      <c r="B6" s="5">
        <v>5</v>
      </c>
      <c r="C6" s="5">
        <v>5</v>
      </c>
      <c r="D6" s="10" t="s">
        <v>21</v>
      </c>
      <c r="E6">
        <v>151</v>
      </c>
      <c r="F6" s="7">
        <v>3.7999999999999999E-2</v>
      </c>
      <c r="G6">
        <v>20.399999999999999</v>
      </c>
      <c r="H6" s="7">
        <v>66.78</v>
      </c>
      <c r="I6">
        <v>2.9034782608695653</v>
      </c>
      <c r="J6">
        <v>117.10000000000001</v>
      </c>
      <c r="K6">
        <v>3.002564102564103</v>
      </c>
      <c r="L6">
        <v>1.7535190176699611</v>
      </c>
      <c r="M6">
        <v>47.5</v>
      </c>
      <c r="N6">
        <v>1.9543513453077281</v>
      </c>
      <c r="O6" s="8">
        <v>46.067500000000003</v>
      </c>
      <c r="P6" s="9">
        <v>3.18</v>
      </c>
      <c r="Q6" s="9">
        <v>1.2549999999999999</v>
      </c>
    </row>
    <row r="7" spans="1:17">
      <c r="A7" s="5">
        <v>1</v>
      </c>
      <c r="B7" s="5">
        <v>6</v>
      </c>
      <c r="C7" s="5">
        <v>6</v>
      </c>
      <c r="D7" s="10" t="s">
        <v>22</v>
      </c>
      <c r="E7">
        <v>165.4</v>
      </c>
      <c r="F7" s="7">
        <v>0.27800000000000002</v>
      </c>
      <c r="G7">
        <v>74</v>
      </c>
      <c r="H7" s="7">
        <v>96.99</v>
      </c>
      <c r="I7">
        <v>4.2169565217391298</v>
      </c>
      <c r="J7">
        <v>205.10000000000002</v>
      </c>
      <c r="K7">
        <v>5.2589743589743598</v>
      </c>
      <c r="L7">
        <v>2.1146509949479331</v>
      </c>
      <c r="M7">
        <v>35</v>
      </c>
      <c r="N7">
        <v>1.8366555301147773</v>
      </c>
      <c r="O7" s="8">
        <v>76.08250000000001</v>
      </c>
      <c r="P7" s="9">
        <v>8.18</v>
      </c>
      <c r="Q7" s="9">
        <v>2.6949999999999998</v>
      </c>
    </row>
    <row r="8" spans="1:17">
      <c r="A8" s="5">
        <v>1</v>
      </c>
      <c r="B8" s="5">
        <v>7</v>
      </c>
      <c r="C8" s="5">
        <v>7</v>
      </c>
      <c r="D8" s="10" t="s">
        <v>23</v>
      </c>
      <c r="E8">
        <v>148.6</v>
      </c>
      <c r="F8" s="7">
        <v>0.53200000000000003</v>
      </c>
      <c r="G8">
        <v>20.8</v>
      </c>
      <c r="H8" s="7">
        <v>61.37</v>
      </c>
      <c r="I8">
        <v>2.6682608695652172</v>
      </c>
      <c r="J8">
        <v>183.6</v>
      </c>
      <c r="K8">
        <v>4.7076923076923078</v>
      </c>
      <c r="L8">
        <v>2.9916897506925206</v>
      </c>
      <c r="M8">
        <v>7.5</v>
      </c>
      <c r="N8">
        <v>1.4451420114642923</v>
      </c>
      <c r="O8" s="8">
        <v>39.407499999999999</v>
      </c>
      <c r="P8" s="9">
        <v>3.46</v>
      </c>
      <c r="Q8" s="9">
        <v>1.2549999999999999</v>
      </c>
    </row>
    <row r="9" spans="1:17">
      <c r="A9" s="5">
        <v>1</v>
      </c>
      <c r="B9" s="5">
        <v>8</v>
      </c>
      <c r="C9" s="5">
        <v>8</v>
      </c>
      <c r="D9" s="10" t="s">
        <v>24</v>
      </c>
      <c r="E9">
        <v>148</v>
      </c>
      <c r="F9" s="7">
        <v>0.42199999999999999</v>
      </c>
      <c r="G9">
        <v>55.2</v>
      </c>
      <c r="H9" s="7">
        <v>27.6</v>
      </c>
      <c r="I9">
        <v>1.2</v>
      </c>
      <c r="J9">
        <v>249.4</v>
      </c>
      <c r="K9">
        <v>6.3948717948717952</v>
      </c>
      <c r="L9">
        <v>9.0362318840579707</v>
      </c>
      <c r="M9">
        <v>11</v>
      </c>
      <c r="N9">
        <v>1.3985608063440371</v>
      </c>
      <c r="O9" s="8">
        <v>47.4925</v>
      </c>
      <c r="P9" s="9">
        <v>3.7</v>
      </c>
      <c r="Q9" s="9">
        <v>1.44</v>
      </c>
    </row>
    <row r="10" spans="1:17">
      <c r="A10" s="5">
        <v>1</v>
      </c>
      <c r="B10" s="5">
        <v>9</v>
      </c>
      <c r="C10" s="5">
        <v>9</v>
      </c>
      <c r="D10" s="10" t="s">
        <v>25</v>
      </c>
      <c r="E10">
        <v>85.2</v>
      </c>
      <c r="F10" s="7">
        <v>8.4000000000000005E-2</v>
      </c>
      <c r="G10">
        <v>15.6</v>
      </c>
      <c r="H10" s="7">
        <v>76.239999999999995</v>
      </c>
      <c r="I10">
        <v>3.3147826086956518</v>
      </c>
      <c r="J10">
        <v>249.4</v>
      </c>
      <c r="K10">
        <v>6.3948717948717952</v>
      </c>
      <c r="L10">
        <v>3.2712486883525713</v>
      </c>
      <c r="M10">
        <v>12.5</v>
      </c>
      <c r="N10">
        <v>1.2722408938066558</v>
      </c>
      <c r="O10" s="8">
        <v>47.8</v>
      </c>
      <c r="P10" s="9">
        <v>3.93</v>
      </c>
      <c r="Q10" s="9">
        <v>1.38</v>
      </c>
    </row>
    <row r="11" spans="1:17">
      <c r="A11" s="5">
        <v>1</v>
      </c>
      <c r="B11" s="5">
        <v>10</v>
      </c>
      <c r="C11" s="5">
        <v>10</v>
      </c>
      <c r="D11" s="10" t="s">
        <v>26</v>
      </c>
      <c r="E11">
        <v>137.19999999999999</v>
      </c>
      <c r="F11" s="7">
        <v>0.14799999999999999</v>
      </c>
      <c r="G11">
        <v>84</v>
      </c>
      <c r="H11" s="7">
        <v>76.2</v>
      </c>
      <c r="I11">
        <v>3.3130434782608695</v>
      </c>
      <c r="J11">
        <v>246.1</v>
      </c>
      <c r="K11">
        <v>6.31025641025641</v>
      </c>
      <c r="L11">
        <v>3.2296587926509184</v>
      </c>
      <c r="M11">
        <v>57.5</v>
      </c>
      <c r="N11">
        <v>1.456213601427933</v>
      </c>
      <c r="O11" s="11">
        <v>35.414999999999999</v>
      </c>
      <c r="P11" s="9">
        <v>4.5</v>
      </c>
      <c r="Q11" s="9">
        <v>1.575</v>
      </c>
    </row>
    <row r="12" spans="1:17">
      <c r="A12" s="5">
        <v>1</v>
      </c>
      <c r="B12" s="5">
        <v>11</v>
      </c>
      <c r="C12" s="5">
        <v>11</v>
      </c>
      <c r="D12" s="10" t="s">
        <v>27</v>
      </c>
      <c r="E12">
        <v>151.6</v>
      </c>
      <c r="F12" s="7">
        <v>0.23</v>
      </c>
      <c r="G12">
        <v>28.8</v>
      </c>
      <c r="H12" s="7">
        <v>78.41</v>
      </c>
      <c r="I12">
        <v>3.4091304347826084</v>
      </c>
      <c r="J12">
        <v>257.5</v>
      </c>
      <c r="K12">
        <v>6.6025641025641022</v>
      </c>
      <c r="L12">
        <v>3.2840198954215025</v>
      </c>
      <c r="M12">
        <v>22.5</v>
      </c>
      <c r="N12">
        <v>1.4345395788599631</v>
      </c>
      <c r="O12" s="8">
        <v>35.880000000000003</v>
      </c>
      <c r="P12" s="9">
        <v>3.21</v>
      </c>
      <c r="Q12" s="9">
        <v>0.97499999999999998</v>
      </c>
    </row>
    <row r="13" spans="1:17">
      <c r="A13" s="5">
        <v>1</v>
      </c>
      <c r="B13" s="5">
        <v>12</v>
      </c>
      <c r="C13" s="5">
        <v>12</v>
      </c>
      <c r="D13" s="10" t="s">
        <v>28</v>
      </c>
      <c r="E13">
        <v>130.6</v>
      </c>
      <c r="F13" s="7">
        <v>0.316</v>
      </c>
      <c r="G13">
        <v>50.8</v>
      </c>
      <c r="H13" s="7">
        <v>42.8</v>
      </c>
      <c r="I13">
        <v>1.8608695652173912</v>
      </c>
      <c r="J13">
        <v>198.1</v>
      </c>
      <c r="K13">
        <v>5.0794871794871792</v>
      </c>
      <c r="L13">
        <v>4.6285046728971961</v>
      </c>
      <c r="M13">
        <v>60</v>
      </c>
      <c r="N13">
        <v>1.3738970480044383</v>
      </c>
      <c r="O13" s="8">
        <v>47.584999999999994</v>
      </c>
      <c r="P13" s="9">
        <v>4.41</v>
      </c>
      <c r="Q13" s="9">
        <v>1.5049999999999999</v>
      </c>
    </row>
    <row r="14" spans="1:17">
      <c r="A14" s="5">
        <v>1</v>
      </c>
      <c r="B14" s="5">
        <v>13</v>
      </c>
      <c r="C14" s="5">
        <v>13</v>
      </c>
      <c r="D14" s="10" t="s">
        <v>29</v>
      </c>
      <c r="E14">
        <v>145</v>
      </c>
      <c r="F14" s="7">
        <v>0.37</v>
      </c>
      <c r="G14">
        <v>47.2</v>
      </c>
      <c r="H14" s="7">
        <v>59.48</v>
      </c>
      <c r="I14">
        <v>2.586086956521739</v>
      </c>
      <c r="J14">
        <v>144.19999999999999</v>
      </c>
      <c r="K14">
        <v>3.6974358974358972</v>
      </c>
      <c r="L14">
        <v>2.4243443174176194</v>
      </c>
      <c r="M14">
        <v>55</v>
      </c>
      <c r="N14">
        <v>1.5999189380173624</v>
      </c>
      <c r="O14" s="8">
        <v>35.410000000000004</v>
      </c>
      <c r="P14" s="9">
        <v>3.44</v>
      </c>
      <c r="Q14" s="9">
        <v>1.2</v>
      </c>
    </row>
    <row r="15" spans="1:17">
      <c r="A15" s="5">
        <v>1</v>
      </c>
      <c r="B15" s="5">
        <v>14</v>
      </c>
      <c r="C15" s="5">
        <v>14</v>
      </c>
      <c r="D15" s="10" t="s">
        <v>30</v>
      </c>
      <c r="E15">
        <v>120.2</v>
      </c>
      <c r="F15" s="7">
        <v>0.28999999999999998</v>
      </c>
      <c r="G15">
        <v>24.4</v>
      </c>
      <c r="H15" s="7">
        <v>68.150000000000006</v>
      </c>
      <c r="I15">
        <v>2.9630434782608699</v>
      </c>
      <c r="J15">
        <v>111.6</v>
      </c>
      <c r="K15">
        <v>2.8615384615384616</v>
      </c>
      <c r="L15">
        <v>1.6375641966250916</v>
      </c>
      <c r="M15">
        <v>25</v>
      </c>
      <c r="N15">
        <v>1.1881174683293847</v>
      </c>
      <c r="O15" s="8">
        <v>34.950000000000003</v>
      </c>
      <c r="P15" s="9">
        <v>2.99</v>
      </c>
      <c r="Q15" s="9">
        <v>1.1200000000000001</v>
      </c>
    </row>
    <row r="16" spans="1:17">
      <c r="A16" s="5">
        <v>1</v>
      </c>
      <c r="B16" s="5">
        <v>15</v>
      </c>
      <c r="C16" s="5">
        <v>15</v>
      </c>
      <c r="D16" s="10" t="s">
        <v>31</v>
      </c>
      <c r="E16">
        <v>141.4</v>
      </c>
      <c r="F16" s="7">
        <v>0.316</v>
      </c>
      <c r="G16">
        <v>24.8</v>
      </c>
      <c r="H16" s="7">
        <v>53.6</v>
      </c>
      <c r="I16">
        <v>2.3304347826086955</v>
      </c>
      <c r="J16">
        <v>115.1</v>
      </c>
      <c r="K16">
        <v>2.951282051282051</v>
      </c>
      <c r="L16">
        <v>2.1473880597014925</v>
      </c>
      <c r="M16">
        <v>22</v>
      </c>
      <c r="N16">
        <v>1.1887861852492683</v>
      </c>
      <c r="O16" s="8">
        <v>31.729999999999997</v>
      </c>
      <c r="P16" s="9">
        <v>2.66</v>
      </c>
      <c r="Q16" s="9">
        <v>0.98499999999999999</v>
      </c>
    </row>
    <row r="17" spans="1:17">
      <c r="A17" s="5">
        <v>1</v>
      </c>
      <c r="B17" s="5">
        <v>16</v>
      </c>
      <c r="C17" s="5">
        <v>16</v>
      </c>
      <c r="D17" s="10" t="s">
        <v>32</v>
      </c>
      <c r="E17">
        <v>158.6</v>
      </c>
      <c r="F17" s="7">
        <v>0.45800000000000002</v>
      </c>
      <c r="G17">
        <v>29.6</v>
      </c>
      <c r="H17" s="7">
        <v>112.54</v>
      </c>
      <c r="I17">
        <v>4.8930434782608696</v>
      </c>
      <c r="J17">
        <v>343.1</v>
      </c>
      <c r="K17">
        <v>8.7974358974358982</v>
      </c>
      <c r="L17">
        <v>3.0486937977607962</v>
      </c>
      <c r="M17">
        <v>27</v>
      </c>
      <c r="N17">
        <v>1.1721534737569859</v>
      </c>
      <c r="O17" s="8">
        <v>53.5075</v>
      </c>
      <c r="P17" s="9">
        <v>5.44</v>
      </c>
      <c r="Q17" s="9">
        <v>2.17</v>
      </c>
    </row>
    <row r="18" spans="1:17">
      <c r="A18" s="5">
        <v>1</v>
      </c>
      <c r="B18" s="5">
        <v>17</v>
      </c>
      <c r="C18" s="5">
        <v>17</v>
      </c>
      <c r="D18" s="10" t="s">
        <v>33</v>
      </c>
      <c r="E18">
        <v>140</v>
      </c>
      <c r="F18" s="7">
        <v>0.38</v>
      </c>
      <c r="G18">
        <v>37.200000000000003</v>
      </c>
      <c r="H18" s="7">
        <v>91.36</v>
      </c>
      <c r="I18">
        <v>3.9721739130434783</v>
      </c>
      <c r="J18">
        <v>163.6</v>
      </c>
      <c r="K18">
        <v>4.1948717948717951</v>
      </c>
      <c r="L18">
        <v>1.7907180385288965</v>
      </c>
      <c r="M18">
        <v>25</v>
      </c>
      <c r="N18">
        <v>1.8854935343746788</v>
      </c>
      <c r="O18" s="8">
        <v>38.1875</v>
      </c>
      <c r="P18" s="9">
        <v>2.81</v>
      </c>
      <c r="Q18" s="9">
        <v>1.0649999999999999</v>
      </c>
    </row>
    <row r="19" spans="1:17">
      <c r="A19" s="5">
        <v>1</v>
      </c>
      <c r="B19" s="5">
        <v>18</v>
      </c>
      <c r="C19" s="5">
        <v>18</v>
      </c>
      <c r="D19" s="10" t="s">
        <v>34</v>
      </c>
      <c r="E19">
        <v>144.4</v>
      </c>
      <c r="F19" s="7">
        <v>0.29399999999999998</v>
      </c>
      <c r="G19">
        <v>50</v>
      </c>
      <c r="H19" s="7">
        <v>107.63</v>
      </c>
      <c r="I19">
        <v>4.6795652173913043</v>
      </c>
      <c r="J19">
        <v>128.9</v>
      </c>
      <c r="K19">
        <v>3.3051282051282054</v>
      </c>
      <c r="L19">
        <v>1.1976214809997214</v>
      </c>
      <c r="M19">
        <v>30</v>
      </c>
      <c r="N19">
        <v>0.85112019192007704</v>
      </c>
      <c r="O19" s="8">
        <v>47.347500000000004</v>
      </c>
      <c r="P19" s="9">
        <v>4.37</v>
      </c>
      <c r="Q19" s="9">
        <v>1.55</v>
      </c>
    </row>
    <row r="20" spans="1:17">
      <c r="A20" s="5">
        <v>1</v>
      </c>
      <c r="B20" s="5">
        <v>19</v>
      </c>
      <c r="C20" s="5">
        <v>19</v>
      </c>
      <c r="D20" s="10" t="s">
        <v>35</v>
      </c>
      <c r="E20">
        <v>152.6</v>
      </c>
      <c r="F20" s="7">
        <v>0.49</v>
      </c>
      <c r="G20">
        <v>32</v>
      </c>
      <c r="H20" s="7">
        <v>104.75</v>
      </c>
      <c r="I20">
        <v>4.5543478260869561</v>
      </c>
      <c r="J20">
        <v>154.80000000000001</v>
      </c>
      <c r="K20">
        <v>3.9692307692307693</v>
      </c>
      <c r="L20">
        <v>1.4778042959427209</v>
      </c>
      <c r="M20">
        <v>42.5</v>
      </c>
      <c r="N20">
        <v>1.6112705554652922</v>
      </c>
      <c r="O20" s="8">
        <v>38.607500000000002</v>
      </c>
      <c r="P20" s="9">
        <v>3.52</v>
      </c>
      <c r="Q20" s="9">
        <v>1.39</v>
      </c>
    </row>
    <row r="21" spans="1:17">
      <c r="A21" s="5">
        <v>1</v>
      </c>
      <c r="B21" s="5">
        <v>20</v>
      </c>
      <c r="C21" s="5">
        <v>20</v>
      </c>
      <c r="D21" s="10" t="s">
        <v>36</v>
      </c>
      <c r="E21">
        <v>142.80000000000001</v>
      </c>
      <c r="F21" s="7">
        <v>0.746</v>
      </c>
      <c r="G21">
        <v>36.4</v>
      </c>
      <c r="H21" s="7">
        <v>91.31</v>
      </c>
      <c r="I21">
        <v>3.97</v>
      </c>
      <c r="J21">
        <v>218</v>
      </c>
      <c r="K21">
        <v>5.5897435897435894</v>
      </c>
      <c r="L21">
        <v>2.3874712517796515</v>
      </c>
      <c r="M21">
        <v>42.5</v>
      </c>
      <c r="N21">
        <v>1.6485186731917476</v>
      </c>
      <c r="O21" s="11">
        <v>33.14</v>
      </c>
      <c r="P21" s="9">
        <v>2.57</v>
      </c>
      <c r="Q21" s="9">
        <v>1.06</v>
      </c>
    </row>
    <row r="22" spans="1:17">
      <c r="A22" s="5">
        <v>1</v>
      </c>
      <c r="B22" s="5">
        <v>21</v>
      </c>
      <c r="C22" s="5">
        <v>21</v>
      </c>
      <c r="D22" s="10" t="s">
        <v>37</v>
      </c>
      <c r="E22">
        <v>133.19999999999999</v>
      </c>
      <c r="F22" s="7">
        <v>0.33</v>
      </c>
      <c r="G22">
        <v>41.6</v>
      </c>
      <c r="H22" s="7">
        <v>98.34</v>
      </c>
      <c r="I22">
        <v>4.275652173913044</v>
      </c>
      <c r="J22">
        <v>126.8</v>
      </c>
      <c r="K22">
        <v>3.2512820512820513</v>
      </c>
      <c r="L22">
        <v>1.2894041081960543</v>
      </c>
      <c r="M22">
        <v>15</v>
      </c>
      <c r="N22">
        <v>1.8326116607155676</v>
      </c>
      <c r="O22" s="8">
        <v>35.677500000000002</v>
      </c>
      <c r="P22" s="9">
        <v>4.08</v>
      </c>
      <c r="Q22" s="9">
        <v>1.575</v>
      </c>
    </row>
    <row r="23" spans="1:17">
      <c r="A23" s="5">
        <v>1</v>
      </c>
      <c r="B23" s="5">
        <v>22</v>
      </c>
      <c r="C23" s="5">
        <v>22</v>
      </c>
      <c r="D23" s="10" t="s">
        <v>38</v>
      </c>
      <c r="E23">
        <v>112.6</v>
      </c>
      <c r="F23" s="7">
        <v>0.39200000000000002</v>
      </c>
      <c r="G23">
        <v>34</v>
      </c>
      <c r="H23" s="7">
        <v>40.619999999999997</v>
      </c>
      <c r="I23">
        <v>1.766086956521739</v>
      </c>
      <c r="J23">
        <v>290.3</v>
      </c>
      <c r="K23">
        <v>7.4435897435897438</v>
      </c>
      <c r="L23">
        <v>7.1467257508616449</v>
      </c>
      <c r="M23">
        <v>10</v>
      </c>
      <c r="N23">
        <v>1.2860596682448462</v>
      </c>
      <c r="O23" s="8">
        <v>30.017500000000002</v>
      </c>
      <c r="P23" s="9">
        <v>3.07</v>
      </c>
      <c r="Q23" s="9">
        <v>1.3149999999999999</v>
      </c>
    </row>
    <row r="24" spans="1:17">
      <c r="A24" s="5">
        <v>1</v>
      </c>
      <c r="B24" s="5">
        <v>23</v>
      </c>
      <c r="C24" s="5">
        <v>23</v>
      </c>
      <c r="D24" s="10" t="s">
        <v>39</v>
      </c>
      <c r="E24">
        <v>139.4</v>
      </c>
      <c r="F24" s="7">
        <v>0.28999999999999998</v>
      </c>
      <c r="G24">
        <v>70.8</v>
      </c>
      <c r="H24" s="7">
        <v>55.23</v>
      </c>
      <c r="I24">
        <v>2.4013043478260867</v>
      </c>
      <c r="J24">
        <v>244.20000000000002</v>
      </c>
      <c r="K24">
        <v>6.2615384615384624</v>
      </c>
      <c r="L24">
        <v>4.4215100488864749</v>
      </c>
      <c r="M24">
        <v>65</v>
      </c>
      <c r="N24">
        <v>1.5761740918872662</v>
      </c>
      <c r="O24" s="8">
        <v>45.112499999999997</v>
      </c>
      <c r="P24" s="9">
        <v>3.09</v>
      </c>
      <c r="Q24" s="9">
        <v>1.03</v>
      </c>
    </row>
    <row r="25" spans="1:17">
      <c r="A25" s="5">
        <v>1</v>
      </c>
      <c r="B25" s="5">
        <v>24</v>
      </c>
      <c r="C25" s="5">
        <v>24</v>
      </c>
      <c r="D25" s="10" t="s">
        <v>40</v>
      </c>
      <c r="E25">
        <v>154.6</v>
      </c>
      <c r="F25" s="7">
        <v>0.34</v>
      </c>
      <c r="G25">
        <v>25.6</v>
      </c>
      <c r="H25" s="7">
        <v>63.34</v>
      </c>
      <c r="I25">
        <v>2.7539130434782608</v>
      </c>
      <c r="J25">
        <v>120.19999999999999</v>
      </c>
      <c r="K25">
        <v>3.0820512820512818</v>
      </c>
      <c r="L25">
        <v>1.8976949794758444</v>
      </c>
      <c r="M25">
        <v>55</v>
      </c>
      <c r="N25">
        <v>1.498037045404947</v>
      </c>
      <c r="O25" s="8">
        <v>35.317499999999995</v>
      </c>
      <c r="P25" s="9">
        <v>4.18</v>
      </c>
      <c r="Q25" s="9">
        <v>1.7649999999999999</v>
      </c>
    </row>
    <row r="26" spans="1:17">
      <c r="A26" s="5">
        <v>1</v>
      </c>
      <c r="B26" s="5">
        <v>25</v>
      </c>
      <c r="C26" s="5">
        <v>25</v>
      </c>
      <c r="D26" s="10" t="s">
        <v>41</v>
      </c>
      <c r="E26">
        <v>117</v>
      </c>
      <c r="F26" s="7">
        <v>0.376</v>
      </c>
      <c r="G26">
        <v>29.6</v>
      </c>
      <c r="H26" s="7">
        <v>112.5</v>
      </c>
      <c r="I26">
        <v>4.8913043478260869</v>
      </c>
      <c r="J26">
        <v>181</v>
      </c>
      <c r="K26">
        <v>4.6410256410256414</v>
      </c>
      <c r="L26">
        <v>1.6088888888888888</v>
      </c>
      <c r="M26">
        <v>22.5</v>
      </c>
      <c r="N26">
        <v>1.1887861852492683</v>
      </c>
      <c r="O26" s="8">
        <v>38.980000000000004</v>
      </c>
      <c r="P26" s="9">
        <v>2.13</v>
      </c>
      <c r="Q26" s="9">
        <v>0.86</v>
      </c>
    </row>
    <row r="27" spans="1:17">
      <c r="A27" s="5">
        <v>1</v>
      </c>
      <c r="B27" s="5">
        <v>26</v>
      </c>
      <c r="C27" s="5">
        <v>26</v>
      </c>
      <c r="D27" s="10" t="s">
        <v>42</v>
      </c>
      <c r="E27">
        <v>156</v>
      </c>
      <c r="F27" s="7">
        <v>0.94399999999999995</v>
      </c>
      <c r="G27">
        <v>39.200000000000003</v>
      </c>
      <c r="H27" s="7">
        <v>96.63</v>
      </c>
      <c r="I27">
        <v>4.2013043478260865</v>
      </c>
      <c r="J27">
        <v>252.5</v>
      </c>
      <c r="K27">
        <v>6.4743589743589745</v>
      </c>
      <c r="L27">
        <v>2.6130601262547866</v>
      </c>
      <c r="M27">
        <v>15</v>
      </c>
      <c r="N27">
        <v>1.2860596682448462</v>
      </c>
      <c r="O27" s="8">
        <v>36.26</v>
      </c>
      <c r="P27" s="9">
        <v>4.59</v>
      </c>
      <c r="Q27" s="9">
        <v>1.84</v>
      </c>
    </row>
    <row r="28" spans="1:17">
      <c r="A28" s="5">
        <v>1</v>
      </c>
      <c r="B28" s="5">
        <v>27</v>
      </c>
      <c r="C28" s="5">
        <v>27</v>
      </c>
      <c r="D28" s="10" t="s">
        <v>43</v>
      </c>
      <c r="E28">
        <v>148</v>
      </c>
      <c r="F28" s="7">
        <v>0.46</v>
      </c>
      <c r="G28">
        <v>20</v>
      </c>
      <c r="H28" s="7">
        <v>55.8</v>
      </c>
      <c r="I28">
        <v>2.4260869565217389</v>
      </c>
      <c r="J28">
        <v>276.3</v>
      </c>
      <c r="K28">
        <v>7.0846153846153852</v>
      </c>
      <c r="L28">
        <v>4.9516129032258069</v>
      </c>
      <c r="M28">
        <v>17.5</v>
      </c>
      <c r="N28">
        <v>1.1459037887835686</v>
      </c>
      <c r="O28" s="8">
        <v>64.317499999999995</v>
      </c>
      <c r="P28" s="9">
        <v>3.49</v>
      </c>
      <c r="Q28" s="9">
        <v>1.585</v>
      </c>
    </row>
    <row r="29" spans="1:17">
      <c r="A29" s="5">
        <v>1</v>
      </c>
      <c r="B29" s="5">
        <v>28</v>
      </c>
      <c r="C29" s="5">
        <v>28</v>
      </c>
      <c r="D29" s="10" t="s">
        <v>44</v>
      </c>
      <c r="E29">
        <v>93.8</v>
      </c>
      <c r="F29" s="7">
        <v>0.36199999999999999</v>
      </c>
      <c r="G29">
        <v>49.2</v>
      </c>
      <c r="H29" s="7">
        <v>54.8</v>
      </c>
      <c r="I29">
        <v>2.3826086956521739</v>
      </c>
      <c r="J29">
        <v>232.89999999999998</v>
      </c>
      <c r="K29">
        <v>5.971794871794871</v>
      </c>
      <c r="L29">
        <v>4.25</v>
      </c>
      <c r="M29">
        <v>97.5</v>
      </c>
      <c r="N29">
        <v>1.7149808914042648</v>
      </c>
      <c r="O29" s="8">
        <v>35.305</v>
      </c>
      <c r="P29" s="9">
        <v>2.83</v>
      </c>
      <c r="Q29" s="9">
        <v>1.1100000000000001</v>
      </c>
    </row>
    <row r="30" spans="1:17">
      <c r="A30" s="5">
        <v>1</v>
      </c>
      <c r="B30" s="5">
        <v>30</v>
      </c>
      <c r="C30" s="5">
        <v>29</v>
      </c>
      <c r="D30" s="10" t="s">
        <v>45</v>
      </c>
      <c r="E30">
        <v>152.80000000000001</v>
      </c>
      <c r="F30" s="7">
        <v>0.13400000000000001</v>
      </c>
      <c r="G30">
        <v>29.6</v>
      </c>
      <c r="H30" s="7">
        <v>89.6</v>
      </c>
      <c r="I30">
        <v>3.8956521739130432</v>
      </c>
      <c r="J30">
        <v>170.39999999999998</v>
      </c>
      <c r="K30">
        <v>4.3692307692307688</v>
      </c>
      <c r="L30">
        <v>1.9017857142857142</v>
      </c>
      <c r="M30">
        <v>22.5</v>
      </c>
      <c r="N30">
        <v>1.4574045067551737</v>
      </c>
      <c r="O30" s="8">
        <v>58.3</v>
      </c>
      <c r="P30" s="9">
        <v>3.69</v>
      </c>
      <c r="Q30" s="9">
        <v>1.45</v>
      </c>
    </row>
    <row r="31" spans="1:17">
      <c r="A31" s="5">
        <v>1</v>
      </c>
      <c r="B31" s="5">
        <v>32</v>
      </c>
      <c r="C31" s="5">
        <v>30</v>
      </c>
      <c r="D31" s="10" t="s">
        <v>46</v>
      </c>
      <c r="E31">
        <v>128.19999999999999</v>
      </c>
      <c r="F31" s="7">
        <v>0.02</v>
      </c>
      <c r="G31">
        <v>38.4</v>
      </c>
      <c r="H31" s="7">
        <v>17.82</v>
      </c>
      <c r="I31">
        <v>0.77</v>
      </c>
      <c r="J31">
        <v>228.8</v>
      </c>
      <c r="K31">
        <v>5.9</v>
      </c>
      <c r="L31">
        <v>12.839506172839506</v>
      </c>
      <c r="N31">
        <v>1.634366752644965</v>
      </c>
      <c r="O31" s="11">
        <v>42.2</v>
      </c>
      <c r="P31" s="9">
        <v>3.57</v>
      </c>
      <c r="Q31" s="9">
        <v>1.4850000000000001</v>
      </c>
    </row>
    <row r="32" spans="1:17">
      <c r="A32" s="5">
        <v>2</v>
      </c>
      <c r="B32" s="5">
        <v>44</v>
      </c>
      <c r="C32" s="5">
        <v>1</v>
      </c>
      <c r="D32" s="6" t="s">
        <v>17</v>
      </c>
      <c r="E32">
        <v>147.19999999999999</v>
      </c>
      <c r="F32" s="7">
        <v>0.71599999999999997</v>
      </c>
      <c r="G32">
        <v>49.2</v>
      </c>
      <c r="H32">
        <v>41.88</v>
      </c>
      <c r="I32">
        <v>1.8</v>
      </c>
      <c r="J32">
        <v>229.3</v>
      </c>
      <c r="K32">
        <v>5.9</v>
      </c>
      <c r="L32">
        <v>5.4751671442215857</v>
      </c>
      <c r="N32">
        <v>1.3011288948651658</v>
      </c>
      <c r="O32" s="8">
        <v>41.037500000000001</v>
      </c>
      <c r="P32" s="9">
        <v>5.23</v>
      </c>
      <c r="Q32" s="9">
        <v>1.7350000000000001</v>
      </c>
    </row>
    <row r="33" spans="1:17">
      <c r="A33" s="5">
        <v>2</v>
      </c>
      <c r="B33" s="5">
        <v>36</v>
      </c>
      <c r="C33" s="5">
        <v>2</v>
      </c>
      <c r="D33" s="6" t="s">
        <v>18</v>
      </c>
      <c r="E33">
        <v>138.6</v>
      </c>
      <c r="F33" s="7">
        <v>0.93</v>
      </c>
      <c r="G33">
        <v>43.6</v>
      </c>
      <c r="H33">
        <v>31.75</v>
      </c>
      <c r="I33">
        <v>1.4</v>
      </c>
      <c r="J33">
        <v>289.5</v>
      </c>
      <c r="K33">
        <v>7.4</v>
      </c>
      <c r="L33">
        <v>9.1181102362204722</v>
      </c>
      <c r="N33">
        <v>1.8254243568448913</v>
      </c>
      <c r="O33" s="8">
        <v>34.412500000000001</v>
      </c>
      <c r="P33" s="9">
        <v>4.32</v>
      </c>
      <c r="Q33" s="9">
        <v>1.48</v>
      </c>
    </row>
    <row r="34" spans="1:17">
      <c r="A34" s="5">
        <v>2</v>
      </c>
      <c r="B34" s="5">
        <v>53</v>
      </c>
      <c r="C34" s="5">
        <v>3</v>
      </c>
      <c r="D34" s="6" t="s">
        <v>19</v>
      </c>
      <c r="E34">
        <v>180</v>
      </c>
      <c r="F34" s="7">
        <v>1.4159999999999999</v>
      </c>
      <c r="G34">
        <v>91.6</v>
      </c>
      <c r="H34">
        <v>32.46</v>
      </c>
      <c r="I34">
        <v>1.41</v>
      </c>
      <c r="J34">
        <v>220.8</v>
      </c>
      <c r="K34">
        <v>5.7</v>
      </c>
      <c r="L34">
        <v>6.8022181146025877</v>
      </c>
      <c r="N34">
        <v>1.3778688896771638</v>
      </c>
      <c r="O34" s="8">
        <v>42.414999999999999</v>
      </c>
      <c r="P34" s="9">
        <v>2.57</v>
      </c>
      <c r="Q34" s="9">
        <v>1.04</v>
      </c>
    </row>
    <row r="35" spans="1:17">
      <c r="A35" s="5">
        <v>2</v>
      </c>
      <c r="B35" s="5">
        <v>40</v>
      </c>
      <c r="C35" s="5">
        <v>4</v>
      </c>
      <c r="D35" s="10" t="s">
        <v>20</v>
      </c>
      <c r="E35">
        <v>151</v>
      </c>
      <c r="F35" s="7">
        <v>0.54</v>
      </c>
      <c r="G35">
        <v>66.8</v>
      </c>
      <c r="H35">
        <v>48.95</v>
      </c>
      <c r="I35">
        <v>2.1</v>
      </c>
      <c r="J35">
        <v>304.8</v>
      </c>
      <c r="K35">
        <v>7.8</v>
      </c>
      <c r="L35">
        <v>6.2267620020429009</v>
      </c>
      <c r="N35">
        <v>1.6076330199384228</v>
      </c>
      <c r="O35" s="8">
        <v>41.402499999999996</v>
      </c>
      <c r="P35" s="9">
        <v>4</v>
      </c>
      <c r="Q35" s="9">
        <v>1.375</v>
      </c>
    </row>
    <row r="36" spans="1:17">
      <c r="A36" s="5">
        <v>2</v>
      </c>
      <c r="B36" s="5">
        <v>58</v>
      </c>
      <c r="C36" s="5">
        <v>5</v>
      </c>
      <c r="D36" s="10" t="s">
        <v>21</v>
      </c>
      <c r="E36">
        <v>163.4</v>
      </c>
      <c r="F36" s="7">
        <v>0.89</v>
      </c>
      <c r="G36">
        <v>38.799999999999997</v>
      </c>
      <c r="H36">
        <v>17.690000000000001</v>
      </c>
      <c r="I36">
        <v>0.77</v>
      </c>
      <c r="J36">
        <v>327.39999999999998</v>
      </c>
      <c r="K36">
        <v>8.4</v>
      </c>
      <c r="L36">
        <v>18.507631430186542</v>
      </c>
      <c r="N36">
        <v>1.4935289122890765</v>
      </c>
      <c r="O36" s="8">
        <v>42.345000000000006</v>
      </c>
      <c r="P36" s="9">
        <v>2.96</v>
      </c>
      <c r="Q36" s="9">
        <v>0.83499999999999996</v>
      </c>
    </row>
    <row r="37" spans="1:17">
      <c r="A37" s="5">
        <v>2</v>
      </c>
      <c r="B37" s="5">
        <v>35</v>
      </c>
      <c r="C37" s="5">
        <v>6</v>
      </c>
      <c r="D37" s="10" t="s">
        <v>22</v>
      </c>
      <c r="E37">
        <v>156.6</v>
      </c>
      <c r="F37" s="7">
        <v>0.626</v>
      </c>
      <c r="G37">
        <v>124.4</v>
      </c>
      <c r="H37">
        <v>37.6</v>
      </c>
      <c r="I37">
        <v>1.6</v>
      </c>
      <c r="J37">
        <v>236.8</v>
      </c>
      <c r="K37">
        <v>6.1</v>
      </c>
      <c r="L37">
        <v>6.2978723404255321</v>
      </c>
      <c r="N37">
        <v>1.9372284705083391</v>
      </c>
      <c r="O37" s="8">
        <v>46.674999999999997</v>
      </c>
      <c r="P37" s="9">
        <v>4.8899999999999997</v>
      </c>
      <c r="Q37" s="9">
        <v>1.64</v>
      </c>
    </row>
    <row r="38" spans="1:17">
      <c r="A38" s="5">
        <v>2</v>
      </c>
      <c r="B38" s="5">
        <v>45</v>
      </c>
      <c r="C38" s="5">
        <v>7</v>
      </c>
      <c r="D38" s="10" t="s">
        <v>23</v>
      </c>
      <c r="E38">
        <v>168.8</v>
      </c>
      <c r="F38" s="7">
        <v>1.1639999999999999</v>
      </c>
      <c r="G38">
        <v>125.2</v>
      </c>
      <c r="H38">
        <v>45.52</v>
      </c>
      <c r="I38">
        <v>2</v>
      </c>
      <c r="J38">
        <v>251.5</v>
      </c>
      <c r="K38">
        <v>6.4</v>
      </c>
      <c r="L38">
        <v>5.5250439367311071</v>
      </c>
      <c r="N38">
        <v>1.2652134297313382</v>
      </c>
      <c r="O38" s="8">
        <v>56.422499999999999</v>
      </c>
      <c r="P38" s="9">
        <v>9.36</v>
      </c>
      <c r="Q38" s="9">
        <v>3.105</v>
      </c>
    </row>
    <row r="39" spans="1:17">
      <c r="A39" s="5">
        <v>2</v>
      </c>
      <c r="B39" s="5">
        <v>54</v>
      </c>
      <c r="C39" s="5">
        <v>8</v>
      </c>
      <c r="D39" s="10" t="s">
        <v>24</v>
      </c>
      <c r="E39">
        <v>158.80000000000001</v>
      </c>
      <c r="F39" s="7">
        <v>0.90600000000000003</v>
      </c>
      <c r="G39">
        <v>44.4</v>
      </c>
      <c r="H39">
        <v>19.18</v>
      </c>
      <c r="I39">
        <v>0.83</v>
      </c>
      <c r="J39">
        <v>277.8</v>
      </c>
      <c r="K39">
        <v>7.1</v>
      </c>
      <c r="L39">
        <v>14.48383733055266</v>
      </c>
      <c r="N39">
        <v>1.5369695357791717</v>
      </c>
      <c r="O39" s="8">
        <v>54.087500000000006</v>
      </c>
      <c r="P39" s="9">
        <v>4.07</v>
      </c>
      <c r="Q39" s="9">
        <v>1.59</v>
      </c>
    </row>
    <row r="40" spans="1:17">
      <c r="A40" s="5">
        <v>2</v>
      </c>
      <c r="B40" s="5">
        <v>41</v>
      </c>
      <c r="C40" s="5">
        <v>9</v>
      </c>
      <c r="D40" s="10" t="s">
        <v>25</v>
      </c>
      <c r="E40">
        <v>91.8</v>
      </c>
      <c r="F40" s="7">
        <v>0.29399999999999998</v>
      </c>
      <c r="G40">
        <v>42.8</v>
      </c>
      <c r="H40">
        <v>28.45</v>
      </c>
      <c r="I40">
        <v>1.23</v>
      </c>
      <c r="J40">
        <v>253.2</v>
      </c>
      <c r="K40">
        <v>6.5</v>
      </c>
      <c r="L40">
        <v>8.8998242530755718</v>
      </c>
      <c r="N40">
        <v>1.2868073467797385</v>
      </c>
      <c r="O40" s="8">
        <v>49.585000000000001</v>
      </c>
      <c r="P40" s="9">
        <v>5.76</v>
      </c>
      <c r="Q40" s="9">
        <v>2.0049999999999999</v>
      </c>
    </row>
    <row r="41" spans="1:17">
      <c r="A41" s="5">
        <v>2</v>
      </c>
      <c r="B41" s="5">
        <v>46</v>
      </c>
      <c r="C41" s="5">
        <v>10</v>
      </c>
      <c r="D41" s="10" t="s">
        <v>26</v>
      </c>
      <c r="E41">
        <v>140.19999999999999</v>
      </c>
      <c r="F41" s="7">
        <v>0.36</v>
      </c>
      <c r="G41">
        <v>30.4</v>
      </c>
      <c r="H41">
        <v>69.819999999999993</v>
      </c>
      <c r="I41">
        <v>1.8</v>
      </c>
      <c r="J41">
        <v>143.4</v>
      </c>
      <c r="K41">
        <v>3.7</v>
      </c>
      <c r="L41">
        <v>2.0538527642509314</v>
      </c>
      <c r="N41">
        <v>1.5369695357791717</v>
      </c>
      <c r="O41" s="11">
        <v>51.145000000000003</v>
      </c>
      <c r="P41" s="9">
        <v>4.82</v>
      </c>
      <c r="Q41" s="9">
        <v>1.6850000000000001</v>
      </c>
    </row>
    <row r="42" spans="1:17">
      <c r="A42" s="5">
        <v>2</v>
      </c>
      <c r="B42" s="5">
        <v>52</v>
      </c>
      <c r="C42" s="5">
        <v>11</v>
      </c>
      <c r="D42" s="10" t="s">
        <v>27</v>
      </c>
      <c r="E42">
        <v>150.19999999999999</v>
      </c>
      <c r="F42" s="7">
        <v>0.33200000000000002</v>
      </c>
      <c r="G42">
        <v>41.6</v>
      </c>
      <c r="H42">
        <v>44.05</v>
      </c>
      <c r="I42">
        <v>1.9</v>
      </c>
      <c r="J42">
        <v>282.39999999999998</v>
      </c>
      <c r="K42">
        <v>7.2</v>
      </c>
      <c r="L42">
        <v>6.4108967082860389</v>
      </c>
      <c r="N42">
        <v>1.2851871802569454</v>
      </c>
      <c r="O42" s="8">
        <v>34.907499999999999</v>
      </c>
      <c r="P42" s="9">
        <v>2.33</v>
      </c>
      <c r="Q42" s="9">
        <v>0.89</v>
      </c>
    </row>
    <row r="43" spans="1:17">
      <c r="A43" s="5">
        <v>2</v>
      </c>
      <c r="B43" s="5">
        <v>47</v>
      </c>
      <c r="C43" s="5">
        <v>12</v>
      </c>
      <c r="D43" s="10" t="s">
        <v>28</v>
      </c>
      <c r="E43">
        <v>123</v>
      </c>
      <c r="F43" s="7">
        <v>0.26</v>
      </c>
      <c r="G43">
        <v>18.399999999999999</v>
      </c>
      <c r="H43">
        <v>44.68</v>
      </c>
      <c r="I43">
        <v>1.9</v>
      </c>
      <c r="J43">
        <v>258.2</v>
      </c>
      <c r="K43">
        <v>6.6</v>
      </c>
      <c r="L43">
        <v>5.7788719785138758</v>
      </c>
      <c r="N43">
        <v>1.8919768302536153</v>
      </c>
      <c r="O43" s="8">
        <v>44.99</v>
      </c>
      <c r="P43" s="9">
        <v>3.61</v>
      </c>
      <c r="Q43" s="9">
        <v>1.2849999999999999</v>
      </c>
    </row>
    <row r="44" spans="1:17">
      <c r="A44" s="5">
        <v>2</v>
      </c>
      <c r="B44" s="5">
        <v>59</v>
      </c>
      <c r="C44" s="5">
        <v>13</v>
      </c>
      <c r="D44" s="10" t="s">
        <v>29</v>
      </c>
      <c r="E44">
        <v>133.80000000000001</v>
      </c>
      <c r="F44" s="7">
        <v>0.52800000000000002</v>
      </c>
      <c r="G44">
        <v>28</v>
      </c>
      <c r="H44">
        <v>28.36</v>
      </c>
      <c r="I44">
        <v>1.2</v>
      </c>
      <c r="J44">
        <v>278.2</v>
      </c>
      <c r="K44">
        <v>7.1</v>
      </c>
      <c r="L44">
        <v>9.8095909732016917</v>
      </c>
      <c r="N44">
        <v>1.5682998881908314</v>
      </c>
      <c r="O44" s="8">
        <v>34.077500000000001</v>
      </c>
      <c r="P44" s="9">
        <v>2</v>
      </c>
      <c r="Q44" s="9">
        <v>0.79</v>
      </c>
    </row>
    <row r="45" spans="1:17">
      <c r="A45" s="5">
        <v>2</v>
      </c>
      <c r="B45" s="5">
        <v>60</v>
      </c>
      <c r="C45" s="5">
        <v>14</v>
      </c>
      <c r="D45" s="10" t="s">
        <v>30</v>
      </c>
      <c r="E45">
        <v>151</v>
      </c>
      <c r="F45" s="7">
        <v>0.73</v>
      </c>
      <c r="G45">
        <v>38.4</v>
      </c>
      <c r="H45">
        <v>20.05</v>
      </c>
      <c r="I45">
        <v>0.87</v>
      </c>
      <c r="J45">
        <v>282.5</v>
      </c>
      <c r="K45">
        <v>7.2</v>
      </c>
      <c r="L45">
        <v>14.089775561097257</v>
      </c>
      <c r="N45">
        <v>1.4365024858770297</v>
      </c>
      <c r="O45" s="8">
        <v>43.5075</v>
      </c>
      <c r="P45" s="9">
        <v>3.02</v>
      </c>
      <c r="Q45" s="9">
        <v>1.2350000000000001</v>
      </c>
    </row>
    <row r="46" spans="1:17">
      <c r="A46" s="5">
        <v>2</v>
      </c>
      <c r="B46" s="5">
        <v>42</v>
      </c>
      <c r="C46" s="5">
        <v>15</v>
      </c>
      <c r="D46" s="10" t="s">
        <v>31</v>
      </c>
      <c r="E46">
        <v>157</v>
      </c>
      <c r="F46" s="7">
        <v>0.24</v>
      </c>
      <c r="G46">
        <v>29.2</v>
      </c>
      <c r="H46">
        <v>50.32</v>
      </c>
      <c r="I46">
        <v>2.2000000000000002</v>
      </c>
      <c r="J46">
        <v>172.4</v>
      </c>
      <c r="K46">
        <v>4.4000000000000004</v>
      </c>
      <c r="L46">
        <v>3.4260731319554849</v>
      </c>
      <c r="N46">
        <v>1.6076330199384228</v>
      </c>
      <c r="O46" s="8">
        <v>31.052500000000002</v>
      </c>
      <c r="P46" s="9">
        <v>7.27</v>
      </c>
      <c r="Q46" s="9">
        <v>2.5249999999999999</v>
      </c>
    </row>
    <row r="47" spans="1:17">
      <c r="A47" s="5">
        <v>2</v>
      </c>
      <c r="B47" s="5">
        <v>34</v>
      </c>
      <c r="C47" s="5">
        <v>16</v>
      </c>
      <c r="D47" s="10" t="s">
        <v>32</v>
      </c>
      <c r="E47">
        <v>137.6</v>
      </c>
      <c r="F47" s="7">
        <v>0.4</v>
      </c>
      <c r="G47">
        <v>50</v>
      </c>
      <c r="H47">
        <v>31.74</v>
      </c>
      <c r="I47">
        <v>1.38</v>
      </c>
      <c r="J47">
        <v>220.5</v>
      </c>
      <c r="K47">
        <v>5.7</v>
      </c>
      <c r="L47">
        <v>6.9470699432892253</v>
      </c>
      <c r="N47">
        <v>1.4350307626922401</v>
      </c>
      <c r="O47" s="8">
        <v>53.14</v>
      </c>
      <c r="P47" s="9">
        <v>8.9600000000000009</v>
      </c>
      <c r="Q47" s="9">
        <v>3.1949999999999998</v>
      </c>
    </row>
    <row r="48" spans="1:17">
      <c r="A48" s="5">
        <v>2</v>
      </c>
      <c r="B48" s="5">
        <v>37</v>
      </c>
      <c r="C48" s="5">
        <v>17</v>
      </c>
      <c r="D48" s="10" t="s">
        <v>33</v>
      </c>
      <c r="E48">
        <v>150</v>
      </c>
      <c r="F48" s="7">
        <v>0.308</v>
      </c>
      <c r="G48">
        <v>33.6</v>
      </c>
      <c r="H48">
        <v>36.64</v>
      </c>
      <c r="I48">
        <v>1.6</v>
      </c>
      <c r="J48">
        <v>225.2</v>
      </c>
      <c r="K48">
        <v>5.8</v>
      </c>
      <c r="L48">
        <v>6.1462882096069862</v>
      </c>
      <c r="N48">
        <v>1.5625092686212358</v>
      </c>
      <c r="O48" s="8">
        <v>49.11</v>
      </c>
      <c r="P48" s="9">
        <v>5.42</v>
      </c>
      <c r="Q48" s="9">
        <v>1.7350000000000001</v>
      </c>
    </row>
    <row r="49" spans="1:17">
      <c r="A49" s="5">
        <v>2</v>
      </c>
      <c r="B49" s="5">
        <v>43</v>
      </c>
      <c r="C49" s="5">
        <v>18</v>
      </c>
      <c r="D49" s="10" t="s">
        <v>34</v>
      </c>
      <c r="E49">
        <v>131.6</v>
      </c>
      <c r="F49" s="7">
        <v>0.2</v>
      </c>
      <c r="G49">
        <v>27.2</v>
      </c>
      <c r="H49">
        <v>55.27</v>
      </c>
      <c r="I49">
        <v>2.4</v>
      </c>
      <c r="J49">
        <v>206.7</v>
      </c>
      <c r="K49">
        <v>5.3</v>
      </c>
      <c r="L49">
        <v>3.7398226886195038</v>
      </c>
      <c r="N49">
        <v>1.6826289695022385</v>
      </c>
      <c r="O49" s="8">
        <v>32.015000000000001</v>
      </c>
      <c r="P49" s="9">
        <v>2.2799999999999998</v>
      </c>
      <c r="Q49" s="9">
        <v>0.81</v>
      </c>
    </row>
    <row r="50" spans="1:17">
      <c r="A50" s="5">
        <v>2</v>
      </c>
      <c r="B50" s="5">
        <v>51</v>
      </c>
      <c r="C50" s="5">
        <v>19</v>
      </c>
      <c r="D50" s="10" t="s">
        <v>35</v>
      </c>
      <c r="E50">
        <v>162.80000000000001</v>
      </c>
      <c r="F50" s="7">
        <v>0.42199999999999999</v>
      </c>
      <c r="G50">
        <v>36.799999999999997</v>
      </c>
      <c r="H50">
        <v>19.62</v>
      </c>
      <c r="I50">
        <v>0.85</v>
      </c>
      <c r="J50">
        <v>237.3</v>
      </c>
      <c r="K50">
        <v>6.1</v>
      </c>
      <c r="L50">
        <v>12.094801223241591</v>
      </c>
      <c r="N50">
        <v>1.8134036679021559</v>
      </c>
      <c r="O50" s="8">
        <v>42.292499999999997</v>
      </c>
      <c r="P50" s="9">
        <v>2.92</v>
      </c>
      <c r="Q50" s="9">
        <v>1.2050000000000001</v>
      </c>
    </row>
    <row r="51" spans="1:17">
      <c r="A51" s="5">
        <v>2</v>
      </c>
      <c r="B51" s="5">
        <v>38</v>
      </c>
      <c r="C51" s="5">
        <v>20</v>
      </c>
      <c r="D51" s="10" t="s">
        <v>36</v>
      </c>
      <c r="E51">
        <v>134.80000000000001</v>
      </c>
      <c r="F51" s="7">
        <v>0.23</v>
      </c>
      <c r="G51">
        <v>29.2</v>
      </c>
      <c r="H51">
        <v>34.81</v>
      </c>
      <c r="I51">
        <v>1.51</v>
      </c>
      <c r="J51">
        <v>188.8</v>
      </c>
      <c r="K51">
        <v>4.8</v>
      </c>
      <c r="L51">
        <v>5.4237288135593218</v>
      </c>
      <c r="N51">
        <v>1.4804343001262483</v>
      </c>
      <c r="O51" s="11">
        <v>46.967500000000001</v>
      </c>
      <c r="P51" s="9">
        <v>4.1500000000000004</v>
      </c>
      <c r="Q51" s="9">
        <v>1.2849999999999999</v>
      </c>
    </row>
    <row r="52" spans="1:17">
      <c r="A52" s="5">
        <v>2</v>
      </c>
      <c r="B52" s="5">
        <v>48</v>
      </c>
      <c r="C52" s="5">
        <v>21</v>
      </c>
      <c r="D52" s="10" t="s">
        <v>37</v>
      </c>
      <c r="E52">
        <v>142.19999999999999</v>
      </c>
      <c r="F52" s="7">
        <v>0.48199999999999998</v>
      </c>
      <c r="G52">
        <v>27.2</v>
      </c>
      <c r="H52">
        <v>53.09</v>
      </c>
      <c r="I52">
        <v>2.2999999999999998</v>
      </c>
      <c r="J52">
        <v>323.89999999999998</v>
      </c>
      <c r="K52">
        <v>8.3000000000000007</v>
      </c>
      <c r="L52">
        <v>6.1009606328875483</v>
      </c>
      <c r="N52">
        <v>0.9346943178207221</v>
      </c>
      <c r="O52" s="8">
        <v>42</v>
      </c>
      <c r="P52" s="9">
        <v>3.37</v>
      </c>
      <c r="Q52" s="9">
        <v>1.1499999999999999</v>
      </c>
    </row>
    <row r="53" spans="1:17">
      <c r="A53" s="5">
        <v>2</v>
      </c>
      <c r="B53" s="5">
        <v>55</v>
      </c>
      <c r="C53" s="5">
        <v>22</v>
      </c>
      <c r="D53" s="10" t="s">
        <v>38</v>
      </c>
      <c r="E53">
        <v>134.4</v>
      </c>
      <c r="F53" s="7">
        <v>0.91400000000000003</v>
      </c>
      <c r="G53">
        <v>38.4</v>
      </c>
      <c r="H53">
        <v>18.940000000000001</v>
      </c>
      <c r="I53">
        <v>0.82</v>
      </c>
      <c r="J53">
        <v>264.60000000000002</v>
      </c>
      <c r="K53">
        <v>6.8</v>
      </c>
      <c r="L53">
        <v>13.970432946145724</v>
      </c>
      <c r="N53">
        <v>1.0530479736525276</v>
      </c>
      <c r="O53" s="8">
        <v>56.652500000000003</v>
      </c>
      <c r="P53" s="9">
        <v>5.04</v>
      </c>
      <c r="Q53" s="9">
        <v>1.56</v>
      </c>
    </row>
    <row r="54" spans="1:17">
      <c r="A54" s="5">
        <v>2</v>
      </c>
      <c r="B54" s="5">
        <v>56</v>
      </c>
      <c r="C54" s="5">
        <v>23</v>
      </c>
      <c r="D54" s="10" t="s">
        <v>39</v>
      </c>
      <c r="E54">
        <v>171.8</v>
      </c>
      <c r="F54" s="7">
        <v>0.84799999999999998</v>
      </c>
      <c r="G54">
        <v>54.4</v>
      </c>
      <c r="H54">
        <v>35.68</v>
      </c>
      <c r="I54">
        <v>1.6</v>
      </c>
      <c r="J54">
        <v>205.3</v>
      </c>
      <c r="K54">
        <v>5.3</v>
      </c>
      <c r="L54">
        <v>5.7539237668161443</v>
      </c>
      <c r="N54">
        <v>1.1793867792612109</v>
      </c>
      <c r="O54" s="8">
        <v>41.092499999999994</v>
      </c>
      <c r="P54" s="9">
        <v>2.8</v>
      </c>
      <c r="Q54" s="9">
        <v>1.115</v>
      </c>
    </row>
    <row r="55" spans="1:17">
      <c r="A55" s="5">
        <v>2</v>
      </c>
      <c r="B55" s="5">
        <v>49</v>
      </c>
      <c r="C55" s="5">
        <v>24</v>
      </c>
      <c r="D55" s="10" t="s">
        <v>40</v>
      </c>
      <c r="E55">
        <v>156.80000000000001</v>
      </c>
      <c r="F55" s="7">
        <v>0.33800000000000002</v>
      </c>
      <c r="G55">
        <v>28</v>
      </c>
      <c r="H55">
        <v>24.7</v>
      </c>
      <c r="I55">
        <v>1.1000000000000001</v>
      </c>
      <c r="J55">
        <v>300.60000000000002</v>
      </c>
      <c r="K55">
        <v>7.7</v>
      </c>
      <c r="L55">
        <v>12.170040485829961</v>
      </c>
      <c r="N55">
        <v>1.6833020044705669</v>
      </c>
      <c r="O55" s="8">
        <v>40.045000000000002</v>
      </c>
      <c r="P55" s="9">
        <v>6.69</v>
      </c>
      <c r="Q55" s="9">
        <v>2.36</v>
      </c>
    </row>
    <row r="56" spans="1:17">
      <c r="A56" s="5">
        <v>2</v>
      </c>
      <c r="B56" s="5">
        <v>39</v>
      </c>
      <c r="C56" s="5">
        <v>25</v>
      </c>
      <c r="D56" s="10" t="s">
        <v>41</v>
      </c>
      <c r="E56">
        <v>152.6</v>
      </c>
      <c r="F56" s="7">
        <v>0.24</v>
      </c>
      <c r="G56">
        <v>58.4</v>
      </c>
      <c r="H56">
        <v>35.130000000000003</v>
      </c>
      <c r="I56">
        <v>1.52</v>
      </c>
      <c r="J56">
        <v>216.5</v>
      </c>
      <c r="K56">
        <v>5.6</v>
      </c>
      <c r="L56">
        <v>6.1628237973242239</v>
      </c>
      <c r="N56">
        <v>1.3267341552027028</v>
      </c>
      <c r="O56" s="8">
        <v>54.477499999999999</v>
      </c>
      <c r="P56" s="9">
        <v>6.02</v>
      </c>
      <c r="Q56" s="9">
        <v>1.7350000000000001</v>
      </c>
    </row>
    <row r="57" spans="1:17">
      <c r="A57" s="5">
        <v>2</v>
      </c>
      <c r="B57" s="5">
        <v>50</v>
      </c>
      <c r="C57" s="5">
        <v>26</v>
      </c>
      <c r="D57" s="10" t="s">
        <v>42</v>
      </c>
      <c r="E57">
        <v>155.4</v>
      </c>
      <c r="F57" s="7">
        <v>0.58399999999999996</v>
      </c>
      <c r="G57">
        <v>68</v>
      </c>
      <c r="H57">
        <v>17.52</v>
      </c>
      <c r="I57">
        <v>0.76</v>
      </c>
      <c r="J57">
        <v>273</v>
      </c>
      <c r="K57">
        <v>7</v>
      </c>
      <c r="L57">
        <v>15.582191780821919</v>
      </c>
      <c r="N57">
        <v>1.8047045080848363</v>
      </c>
      <c r="O57" s="8">
        <v>64.762500000000003</v>
      </c>
      <c r="P57" s="9">
        <v>5.07</v>
      </c>
      <c r="Q57" s="9">
        <v>2.0550000000000002</v>
      </c>
    </row>
    <row r="58" spans="1:17">
      <c r="A58" s="5">
        <v>2</v>
      </c>
      <c r="B58" s="5">
        <v>57</v>
      </c>
      <c r="C58" s="5">
        <v>27</v>
      </c>
      <c r="D58" s="10" t="s">
        <v>43</v>
      </c>
      <c r="E58">
        <v>142.6</v>
      </c>
      <c r="F58" s="7">
        <v>0.29799999999999999</v>
      </c>
      <c r="G58">
        <v>18.8</v>
      </c>
      <c r="H58">
        <v>20.79</v>
      </c>
      <c r="I58">
        <v>0.9</v>
      </c>
      <c r="J58">
        <v>396.2</v>
      </c>
      <c r="K58">
        <v>10.199999999999999</v>
      </c>
      <c r="L58">
        <v>19.057239057239059</v>
      </c>
      <c r="N58">
        <v>1.405219484845194</v>
      </c>
      <c r="O58" s="8">
        <v>60.67</v>
      </c>
      <c r="P58" s="9">
        <v>4.42</v>
      </c>
      <c r="Q58" s="9">
        <v>1.77</v>
      </c>
    </row>
    <row r="59" spans="1:17">
      <c r="A59" s="5">
        <v>2</v>
      </c>
      <c r="B59" s="5">
        <v>29</v>
      </c>
      <c r="C59" s="5">
        <v>28</v>
      </c>
      <c r="D59" s="10" t="s">
        <v>44</v>
      </c>
      <c r="E59">
        <v>91.4</v>
      </c>
      <c r="F59" s="7">
        <v>0.51200000000000001</v>
      </c>
      <c r="G59">
        <v>59.6</v>
      </c>
      <c r="H59">
        <v>104.85</v>
      </c>
      <c r="I59">
        <v>4.5586956521739124</v>
      </c>
      <c r="J59">
        <v>255.6</v>
      </c>
      <c r="K59">
        <v>6.5538461538461537</v>
      </c>
      <c r="L59">
        <v>2.4377682403433476</v>
      </c>
      <c r="N59">
        <v>1.8346322879885559</v>
      </c>
      <c r="O59" s="8">
        <v>67.185000000000002</v>
      </c>
      <c r="P59" s="9">
        <v>7.57</v>
      </c>
      <c r="Q59" s="9">
        <v>2.6850000000000001</v>
      </c>
    </row>
    <row r="60" spans="1:17">
      <c r="A60" s="5">
        <v>2</v>
      </c>
      <c r="B60" s="5">
        <v>31</v>
      </c>
      <c r="C60" s="5">
        <v>29</v>
      </c>
      <c r="D60" s="10" t="s">
        <v>45</v>
      </c>
      <c r="E60">
        <v>143.19999999999999</v>
      </c>
      <c r="F60" s="7">
        <v>0.39200000000000002</v>
      </c>
      <c r="G60">
        <v>28</v>
      </c>
      <c r="H60">
        <v>18.22</v>
      </c>
      <c r="I60">
        <v>0.79</v>
      </c>
      <c r="J60">
        <v>266.5</v>
      </c>
      <c r="K60">
        <v>6.8</v>
      </c>
      <c r="L60">
        <v>14.626783754116357</v>
      </c>
      <c r="N60">
        <v>1.6873524283893062</v>
      </c>
      <c r="O60" s="8">
        <v>70.685000000000002</v>
      </c>
      <c r="P60" s="9">
        <v>5.78</v>
      </c>
      <c r="Q60" s="9">
        <v>2.0649999999999999</v>
      </c>
    </row>
    <row r="61" spans="1:17">
      <c r="A61" s="5">
        <v>2</v>
      </c>
      <c r="B61" s="5">
        <v>33</v>
      </c>
      <c r="C61" s="5">
        <v>30</v>
      </c>
      <c r="D61" s="10" t="s">
        <v>46</v>
      </c>
      <c r="E61">
        <v>136.4</v>
      </c>
      <c r="F61" s="7">
        <v>0.45200000000000001</v>
      </c>
      <c r="G61">
        <v>30.8</v>
      </c>
      <c r="H61">
        <v>18.38</v>
      </c>
      <c r="I61">
        <v>0.8</v>
      </c>
      <c r="J61">
        <v>225.8</v>
      </c>
      <c r="K61">
        <v>5.8</v>
      </c>
      <c r="L61">
        <v>12.285092491838956</v>
      </c>
      <c r="N61">
        <v>1.8643326656456716</v>
      </c>
      <c r="O61" s="11">
        <v>49.8825</v>
      </c>
      <c r="P61" s="9">
        <v>4.5599999999999996</v>
      </c>
      <c r="Q61" s="9">
        <v>1.405</v>
      </c>
    </row>
  </sheetData>
  <sortState ref="A2:Q61">
    <sortCondition ref="A2:A61"/>
    <sortCondition ref="C2:C6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64" zoomScale="70" zoomScaleNormal="70" workbookViewId="0">
      <selection activeCell="E15" sqref="E15"/>
    </sheetView>
  </sheetViews>
  <sheetFormatPr defaultRowHeight="15"/>
  <cols>
    <col min="1" max="1" width="6.7109375" bestFit="1" customWidth="1"/>
    <col min="2" max="2" width="13.85546875" bestFit="1" customWidth="1"/>
    <col min="3" max="3" width="17.28515625" bestFit="1" customWidth="1"/>
    <col min="4" max="4" width="13" customWidth="1"/>
    <col min="5" max="5" width="19.42578125" bestFit="1" customWidth="1"/>
    <col min="6" max="6" width="13" customWidth="1"/>
    <col min="7" max="7" width="18.7109375" bestFit="1" customWidth="1"/>
    <col min="8" max="8" width="13" customWidth="1"/>
    <col min="9" max="9" width="13.28515625" bestFit="1" customWidth="1"/>
    <col min="10" max="10" width="13" customWidth="1"/>
    <col min="11" max="11" width="17" customWidth="1"/>
    <col min="12" max="12" width="13" customWidth="1"/>
    <col min="13" max="13" width="12" customWidth="1"/>
    <col min="14" max="14" width="13" customWidth="1"/>
    <col min="15" max="15" width="14.7109375" customWidth="1"/>
    <col min="16" max="16" width="13" customWidth="1"/>
    <col min="17" max="17" width="12" customWidth="1"/>
    <col min="18" max="18" width="13" customWidth="1"/>
    <col min="19" max="19" width="15.85546875" bestFit="1" customWidth="1"/>
  </cols>
  <sheetData>
    <row r="1" spans="1:19" ht="52.5" customHeight="1">
      <c r="A1" s="57" t="s">
        <v>47</v>
      </c>
      <c r="B1" s="58" t="s">
        <v>3</v>
      </c>
      <c r="C1" s="53" t="s">
        <v>48</v>
      </c>
      <c r="D1" s="59"/>
      <c r="E1" s="53" t="s">
        <v>49</v>
      </c>
      <c r="F1" s="59"/>
      <c r="G1" s="53" t="s">
        <v>105</v>
      </c>
      <c r="H1" s="59"/>
      <c r="I1" s="54" t="s">
        <v>100</v>
      </c>
      <c r="J1" s="59"/>
      <c r="K1" s="54" t="s">
        <v>101</v>
      </c>
      <c r="L1" s="59"/>
      <c r="M1" s="54" t="s">
        <v>50</v>
      </c>
      <c r="N1" s="59"/>
      <c r="O1" s="54" t="s">
        <v>51</v>
      </c>
      <c r="P1" s="59"/>
      <c r="Q1" s="54" t="s">
        <v>52</v>
      </c>
      <c r="R1" s="59"/>
      <c r="S1" s="54" t="s">
        <v>53</v>
      </c>
    </row>
    <row r="2" spans="1:19">
      <c r="A2" s="7">
        <v>1</v>
      </c>
      <c r="B2" s="6" t="s">
        <v>17</v>
      </c>
      <c r="C2" s="8">
        <v>146.80000000000001</v>
      </c>
      <c r="D2" s="8">
        <v>0.39999999999981806</v>
      </c>
      <c r="E2" s="8">
        <v>61.6</v>
      </c>
      <c r="F2" s="8">
        <v>2.3999999999999506</v>
      </c>
      <c r="G2" s="8">
        <v>0.72299999999999998</v>
      </c>
      <c r="H2" s="8">
        <v>7.0000000000000053E-3</v>
      </c>
      <c r="I2" s="8">
        <v>42.457500000000003</v>
      </c>
      <c r="J2" s="8">
        <v>1.4199999999999915</v>
      </c>
      <c r="K2" s="8">
        <v>1.494119926220653</v>
      </c>
      <c r="L2" s="8">
        <v>0.19299103135548568</v>
      </c>
      <c r="M2" s="8">
        <v>3.2447826086956519</v>
      </c>
      <c r="N2" s="8">
        <v>0.44478260869565439</v>
      </c>
      <c r="O2" s="8">
        <v>6.8307692307692314</v>
      </c>
      <c r="P2" s="8">
        <v>0.93076923076922657</v>
      </c>
      <c r="Q2" s="8">
        <v>3.5700164904416924</v>
      </c>
      <c r="R2" s="8">
        <v>2.9648760179357136E-3</v>
      </c>
      <c r="S2" s="8">
        <v>30.5</v>
      </c>
    </row>
    <row r="3" spans="1:19">
      <c r="A3" s="7">
        <v>2</v>
      </c>
      <c r="B3" s="6" t="s">
        <v>18</v>
      </c>
      <c r="C3" s="8">
        <v>140.5</v>
      </c>
      <c r="D3" s="8">
        <v>1.9000000000001531</v>
      </c>
      <c r="E3" s="8">
        <v>47.2</v>
      </c>
      <c r="F3" s="8">
        <v>3.6000000000000045</v>
      </c>
      <c r="G3" s="8">
        <v>0.90800000000000003</v>
      </c>
      <c r="H3" s="8">
        <v>2.1999999999998382E-2</v>
      </c>
      <c r="I3" s="8">
        <v>28.736250000000002</v>
      </c>
      <c r="J3" s="8">
        <v>5.676249999999996</v>
      </c>
      <c r="K3" s="8">
        <v>1.6625462776907334</v>
      </c>
      <c r="L3" s="8">
        <v>0.16287807915415889</v>
      </c>
      <c r="M3" s="8">
        <v>3.6115217391304348</v>
      </c>
      <c r="N3" s="8">
        <v>0.21152173913043532</v>
      </c>
      <c r="O3" s="8">
        <v>6.8371794871794904</v>
      </c>
      <c r="P3" s="8">
        <v>0.56282051282050438</v>
      </c>
      <c r="Q3" s="8">
        <v>3.2367162847219504</v>
      </c>
      <c r="R3" s="8">
        <v>0.45382079967702876</v>
      </c>
      <c r="S3" s="8">
        <v>79.5</v>
      </c>
    </row>
    <row r="4" spans="1:19">
      <c r="A4" s="7">
        <v>3</v>
      </c>
      <c r="B4" s="6" t="s">
        <v>19</v>
      </c>
      <c r="C4" s="8">
        <v>168.2</v>
      </c>
      <c r="D4" s="8">
        <v>11.800000000000223</v>
      </c>
      <c r="E4" s="8">
        <v>89</v>
      </c>
      <c r="F4" s="8">
        <v>2.6000000000000418</v>
      </c>
      <c r="G4" s="8">
        <v>1.1949999999999998</v>
      </c>
      <c r="H4" s="8">
        <v>2.1000000000000019E-2</v>
      </c>
      <c r="I4" s="8">
        <v>39.738749999999996</v>
      </c>
      <c r="J4" s="8">
        <v>2.676250000000032</v>
      </c>
      <c r="K4" s="8">
        <v>1.7927203075947831</v>
      </c>
      <c r="L4" s="8">
        <v>1.4851417917623233E-2</v>
      </c>
      <c r="M4" s="8">
        <v>3.3091304347826087</v>
      </c>
      <c r="N4" s="8">
        <v>0.10086956521740144</v>
      </c>
      <c r="O4" s="8">
        <v>4.9192307692307695</v>
      </c>
      <c r="P4" s="8">
        <v>0.78076923076922944</v>
      </c>
      <c r="Q4" s="8">
        <v>2.5108314259979831</v>
      </c>
      <c r="R4" s="8">
        <v>0.32354317555754314</v>
      </c>
      <c r="S4" s="8">
        <v>87.5</v>
      </c>
    </row>
    <row r="5" spans="1:19">
      <c r="A5" s="7">
        <v>4</v>
      </c>
      <c r="B5" s="10" t="s">
        <v>20</v>
      </c>
      <c r="C5" s="8">
        <v>150.6</v>
      </c>
      <c r="D5" s="8">
        <v>0.39999999999981806</v>
      </c>
      <c r="E5" s="8">
        <v>82.199999999999989</v>
      </c>
      <c r="F5" s="8">
        <v>5.4000000000001549</v>
      </c>
      <c r="G5" s="8">
        <v>0.44500000000000001</v>
      </c>
      <c r="H5" s="8">
        <v>9.5000000000000029E-2</v>
      </c>
      <c r="I5" s="8">
        <v>41.438749999999999</v>
      </c>
      <c r="J5" s="8">
        <v>3.6249999999999005E-2</v>
      </c>
      <c r="K5" s="8">
        <v>1.4032422169758223</v>
      </c>
      <c r="L5" s="8">
        <v>0.20439080296260054</v>
      </c>
      <c r="M5" s="8">
        <v>3.54</v>
      </c>
      <c r="N5" s="8">
        <v>0.44000000000000195</v>
      </c>
      <c r="O5" s="8">
        <v>7.9243589743589755</v>
      </c>
      <c r="P5" s="8">
        <v>0.12435897435897403</v>
      </c>
      <c r="Q5" s="8">
        <v>3.8477908476463671</v>
      </c>
      <c r="R5" s="8">
        <v>0.41868881574774169</v>
      </c>
      <c r="S5" s="8">
        <v>42.5</v>
      </c>
    </row>
    <row r="6" spans="1:19">
      <c r="A6" s="7">
        <v>5</v>
      </c>
      <c r="B6" s="10" t="s">
        <v>21</v>
      </c>
      <c r="C6" s="8">
        <v>157.19999999999999</v>
      </c>
      <c r="D6" s="8">
        <v>6.2000000000001867</v>
      </c>
      <c r="E6" s="8">
        <v>34.599999999999994</v>
      </c>
      <c r="F6" s="8">
        <v>4.2000000000000384</v>
      </c>
      <c r="G6" s="8">
        <v>0.81400000000000006</v>
      </c>
      <c r="H6" s="8">
        <v>7.599999999999929E-2</v>
      </c>
      <c r="I6" s="8">
        <v>44.206250000000004</v>
      </c>
      <c r="J6" s="8">
        <v>1.8612500000000178</v>
      </c>
      <c r="K6" s="8">
        <v>1.8239401287984041</v>
      </c>
      <c r="L6" s="8">
        <v>0.1304112165093245</v>
      </c>
      <c r="M6" s="8">
        <v>2.8367391304347827</v>
      </c>
      <c r="N6" s="8">
        <v>6.6739130434792446E-2</v>
      </c>
      <c r="O6" s="8">
        <v>8.2012820512820497</v>
      </c>
      <c r="P6" s="8">
        <v>0.19871794871800186</v>
      </c>
      <c r="Q6" s="8">
        <v>4.9078024351225729</v>
      </c>
      <c r="R6" s="8">
        <v>0.2342474785487608</v>
      </c>
      <c r="S6" s="8">
        <v>47.5</v>
      </c>
    </row>
    <row r="7" spans="1:19">
      <c r="A7" s="7">
        <v>6</v>
      </c>
      <c r="B7" s="10" t="s">
        <v>22</v>
      </c>
      <c r="C7" s="8">
        <v>161</v>
      </c>
      <c r="D7" s="8">
        <v>4.4000000000000661</v>
      </c>
      <c r="E7" s="8">
        <v>97.5</v>
      </c>
      <c r="F7" s="8">
        <v>2.5</v>
      </c>
      <c r="G7" s="8">
        <v>0.65200000000000002</v>
      </c>
      <c r="H7" s="8">
        <v>2.600000000000019E-2</v>
      </c>
      <c r="I7" s="8">
        <v>46.378749999999997</v>
      </c>
      <c r="J7" s="8">
        <v>0.2962499999998317</v>
      </c>
      <c r="K7" s="8">
        <v>1.8869420003115582</v>
      </c>
      <c r="L7" s="8">
        <v>5.0286470196782652E-2</v>
      </c>
      <c r="M7" s="8">
        <v>3.6084782608695649</v>
      </c>
      <c r="N7" s="8">
        <v>0.60847826086956502</v>
      </c>
      <c r="O7" s="8">
        <v>5.6794871794871797</v>
      </c>
      <c r="P7" s="8">
        <v>0.42051282051282612</v>
      </c>
      <c r="Q7" s="8">
        <v>2.7812385409522276</v>
      </c>
      <c r="R7" s="8">
        <v>0.6665875460042946</v>
      </c>
      <c r="S7" s="8">
        <v>35</v>
      </c>
    </row>
    <row r="8" spans="1:19">
      <c r="A8" s="7">
        <v>7</v>
      </c>
      <c r="B8" s="10" t="s">
        <v>23</v>
      </c>
      <c r="C8" s="8">
        <v>158.69999999999999</v>
      </c>
      <c r="D8" s="8">
        <v>10.10000000000028</v>
      </c>
      <c r="E8" s="8">
        <v>90</v>
      </c>
      <c r="F8" s="8">
        <v>5</v>
      </c>
      <c r="G8" s="8">
        <v>1.0979999999999999</v>
      </c>
      <c r="H8" s="8">
        <v>6.6000000000001877E-2</v>
      </c>
      <c r="I8" s="8">
        <v>52.914999999999999</v>
      </c>
      <c r="J8" s="8">
        <v>3.5074999999999603</v>
      </c>
      <c r="K8" s="8">
        <v>1.3551777205978153</v>
      </c>
      <c r="L8" s="8">
        <v>8.996429086647699E-2</v>
      </c>
      <c r="M8" s="8">
        <v>2.3341304347826086</v>
      </c>
      <c r="N8" s="8">
        <v>0.33413043478260795</v>
      </c>
      <c r="O8" s="8">
        <v>6.0538461538461554</v>
      </c>
      <c r="P8" s="8">
        <v>0.3461538461538381</v>
      </c>
      <c r="Q8" s="8">
        <v>4.526633180069572</v>
      </c>
      <c r="R8" s="8">
        <v>0.89945377645216606</v>
      </c>
      <c r="S8" s="8">
        <v>7.5</v>
      </c>
    </row>
    <row r="9" spans="1:19">
      <c r="A9" s="7">
        <v>8</v>
      </c>
      <c r="B9" s="10" t="s">
        <v>24</v>
      </c>
      <c r="C9" s="8">
        <v>153.4</v>
      </c>
      <c r="D9" s="8">
        <v>5.3999999999999861</v>
      </c>
      <c r="E9" s="8">
        <v>49.8</v>
      </c>
      <c r="F9" s="8">
        <v>5.4000000000000705</v>
      </c>
      <c r="G9" s="8">
        <v>0.81400000000000006</v>
      </c>
      <c r="H9" s="8">
        <v>9.1999999999999527E-2</v>
      </c>
      <c r="I9" s="8">
        <v>50.790000000000006</v>
      </c>
      <c r="J9" s="8">
        <v>3.2974999999999297</v>
      </c>
      <c r="K9" s="8">
        <v>1.4677651710616044</v>
      </c>
      <c r="L9" s="8">
        <v>6.9204364717568662E-2</v>
      </c>
      <c r="M9" s="8">
        <v>1.0149999999999999</v>
      </c>
      <c r="N9" s="8">
        <v>0.18500000000000047</v>
      </c>
      <c r="O9" s="8">
        <v>6.7474358974358974</v>
      </c>
      <c r="P9" s="8">
        <v>0.35256410256410065</v>
      </c>
      <c r="Q9" s="8">
        <v>10.270604155753436</v>
      </c>
      <c r="R9" s="8">
        <v>1.2343722716954635</v>
      </c>
      <c r="S9" s="8">
        <v>11</v>
      </c>
    </row>
    <row r="10" spans="1:19">
      <c r="A10" s="7">
        <v>9</v>
      </c>
      <c r="B10" s="10" t="s">
        <v>25</v>
      </c>
      <c r="C10" s="8">
        <v>88.5</v>
      </c>
      <c r="D10" s="8">
        <v>3.3000000000000491</v>
      </c>
      <c r="E10" s="8">
        <v>44.2</v>
      </c>
      <c r="F10" s="8">
        <v>1.3999999999998505</v>
      </c>
      <c r="G10" s="8">
        <v>0.23899999999999999</v>
      </c>
      <c r="H10" s="8">
        <v>5.4999999999999931E-2</v>
      </c>
      <c r="I10" s="8">
        <v>48.692499999999995</v>
      </c>
      <c r="J10" s="8">
        <v>0.89250000000043483</v>
      </c>
      <c r="K10" s="8">
        <v>1.2795241202931971</v>
      </c>
      <c r="L10" s="8">
        <v>7.2832264865413388E-3</v>
      </c>
      <c r="M10" s="8">
        <v>2.7723913043478259</v>
      </c>
      <c r="N10" s="8">
        <v>0.54239130434782568</v>
      </c>
      <c r="O10" s="8">
        <v>6.4474358974358976</v>
      </c>
      <c r="P10" s="8">
        <v>5.2564102564102377E-2</v>
      </c>
      <c r="Q10" s="8">
        <v>4.1068663016728735</v>
      </c>
      <c r="R10" s="8">
        <v>0.83561761332030482</v>
      </c>
      <c r="S10" s="8">
        <v>12.5</v>
      </c>
    </row>
    <row r="11" spans="1:19">
      <c r="A11" s="7">
        <v>10</v>
      </c>
      <c r="B11" s="10" t="s">
        <v>26</v>
      </c>
      <c r="C11" s="8">
        <v>138.69999999999999</v>
      </c>
      <c r="D11" s="8">
        <v>1.4999999999999998</v>
      </c>
      <c r="E11" s="8">
        <v>82.2</v>
      </c>
      <c r="F11" s="8">
        <v>1.7999999999999392</v>
      </c>
      <c r="G11" s="8">
        <v>0.30399999999999999</v>
      </c>
      <c r="H11" s="8">
        <v>5.5999999999999994E-2</v>
      </c>
      <c r="I11" s="8">
        <v>48.28</v>
      </c>
      <c r="J11" s="8">
        <v>2.8649999999999749</v>
      </c>
      <c r="K11" s="8">
        <v>1.4965915686035522</v>
      </c>
      <c r="L11" s="8">
        <v>4.0377967175621712E-2</v>
      </c>
      <c r="M11" s="8">
        <v>3.0565217391304347</v>
      </c>
      <c r="N11" s="8">
        <v>0.25652173913043264</v>
      </c>
      <c r="O11" s="8">
        <v>6.0051282051282051</v>
      </c>
      <c r="P11" s="8">
        <v>0.30512820512820582</v>
      </c>
      <c r="Q11" s="8">
        <v>3.3407610733440931</v>
      </c>
      <c r="R11" s="8">
        <v>0.11110228069317653</v>
      </c>
      <c r="S11" s="8">
        <v>57.5</v>
      </c>
    </row>
    <row r="12" spans="1:19">
      <c r="A12" s="7">
        <v>11</v>
      </c>
      <c r="B12" s="10" t="s">
        <v>27</v>
      </c>
      <c r="C12" s="8">
        <v>150.89999999999998</v>
      </c>
      <c r="D12" s="8">
        <v>0.70000000000114337</v>
      </c>
      <c r="E12" s="8">
        <v>40.200000000000003</v>
      </c>
      <c r="F12" s="8">
        <v>1.3999999999999317</v>
      </c>
      <c r="G12" s="8">
        <v>0.28100000000000003</v>
      </c>
      <c r="H12" s="8">
        <v>5.099999999999992E-2</v>
      </c>
      <c r="I12" s="8">
        <v>35.393749999999997</v>
      </c>
      <c r="J12" s="8">
        <v>0.48625000000027452</v>
      </c>
      <c r="K12" s="8">
        <v>1.3598633795584543</v>
      </c>
      <c r="L12" s="8">
        <v>7.4676199301508442E-2</v>
      </c>
      <c r="M12" s="8">
        <v>3.1545652173913039</v>
      </c>
      <c r="N12" s="8">
        <v>0.25456521739130977</v>
      </c>
      <c r="O12" s="8">
        <v>6.9012820512820507</v>
      </c>
      <c r="P12" s="8">
        <v>0.29871794871796414</v>
      </c>
      <c r="Q12" s="8">
        <v>3.7469574739476332</v>
      </c>
      <c r="R12" s="8">
        <v>0.46293757852612738</v>
      </c>
      <c r="S12" s="8">
        <v>22.5</v>
      </c>
    </row>
    <row r="13" spans="1:19">
      <c r="A13" s="7">
        <v>12</v>
      </c>
      <c r="B13" s="10" t="s">
        <v>28</v>
      </c>
      <c r="C13" s="8">
        <v>126.8</v>
      </c>
      <c r="D13" s="8">
        <v>3.7999999999998275</v>
      </c>
      <c r="E13" s="8">
        <v>49.599999999999994</v>
      </c>
      <c r="F13" s="8">
        <v>1.2000000000002122</v>
      </c>
      <c r="G13" s="8">
        <v>0.28800000000000003</v>
      </c>
      <c r="H13" s="8">
        <v>2.7999999999999622E-2</v>
      </c>
      <c r="I13" s="8">
        <v>46.287499999999994</v>
      </c>
      <c r="J13" s="8">
        <v>1.2975000000001509</v>
      </c>
      <c r="K13" s="8">
        <v>1.8829369391290276</v>
      </c>
      <c r="L13" s="8">
        <v>9.0398911245876956E-3</v>
      </c>
      <c r="M13" s="8">
        <v>1.8804347826086956</v>
      </c>
      <c r="N13" s="8">
        <v>1.9565217391304346E-2</v>
      </c>
      <c r="O13" s="8">
        <v>5.8397435897435894</v>
      </c>
      <c r="P13" s="8">
        <v>0.76025641025641311</v>
      </c>
      <c r="Q13" s="8">
        <v>5.2593324279817786</v>
      </c>
      <c r="R13" s="8">
        <v>0.63082775508458422</v>
      </c>
      <c r="S13" s="8">
        <v>60</v>
      </c>
    </row>
    <row r="14" spans="1:19">
      <c r="A14" s="7">
        <v>13</v>
      </c>
      <c r="B14" s="10" t="s">
        <v>29</v>
      </c>
      <c r="C14" s="8">
        <v>139.4</v>
      </c>
      <c r="D14" s="8">
        <v>5.6000000000000512</v>
      </c>
      <c r="E14" s="8">
        <v>47.6</v>
      </c>
      <c r="F14" s="8">
        <v>0.39999999999981806</v>
      </c>
      <c r="G14" s="8">
        <v>0.44900000000000001</v>
      </c>
      <c r="H14" s="8">
        <v>7.900000000000014E-2</v>
      </c>
      <c r="I14" s="8">
        <v>34.743750000000006</v>
      </c>
      <c r="J14" s="8">
        <v>0.66624999999994017</v>
      </c>
      <c r="K14" s="8">
        <v>1.5841094131040969</v>
      </c>
      <c r="L14" s="8">
        <v>1.5809524913265482E-2</v>
      </c>
      <c r="M14" s="8">
        <v>2.3930434782608696</v>
      </c>
      <c r="N14" s="8">
        <v>0.19304347826086926</v>
      </c>
      <c r="O14" s="8">
        <v>6.89871794871795</v>
      </c>
      <c r="P14" s="8">
        <v>0.20128205128205257</v>
      </c>
      <c r="Q14" s="8">
        <v>4.9318620401848969</v>
      </c>
      <c r="R14" s="8">
        <v>0.54046997562537769</v>
      </c>
      <c r="S14" s="8">
        <v>55</v>
      </c>
    </row>
    <row r="15" spans="1:19">
      <c r="A15" s="7">
        <v>14</v>
      </c>
      <c r="B15" s="10" t="s">
        <v>30</v>
      </c>
      <c r="C15" s="8">
        <v>135.6</v>
      </c>
      <c r="D15" s="8">
        <v>15.400000000000112</v>
      </c>
      <c r="E15" s="8">
        <v>36.4</v>
      </c>
      <c r="F15" s="8">
        <v>2.0000000000000568</v>
      </c>
      <c r="G15" s="8">
        <v>0.65999999999999992</v>
      </c>
      <c r="H15" s="8">
        <v>7.0000000000000506E-2</v>
      </c>
      <c r="I15" s="8">
        <v>39.228750000000005</v>
      </c>
      <c r="J15" s="8">
        <v>4.2787499999999898</v>
      </c>
      <c r="K15" s="8">
        <v>1.3123099771032072</v>
      </c>
      <c r="L15" s="8">
        <v>0.12419250877382282</v>
      </c>
      <c r="M15" s="8">
        <v>2.916521739130435</v>
      </c>
      <c r="N15" s="8">
        <v>4.6521739130416802E-2</v>
      </c>
      <c r="O15" s="8">
        <v>7.0307692307692307</v>
      </c>
      <c r="P15" s="8">
        <v>0.16923076923074679</v>
      </c>
      <c r="Q15" s="8">
        <v>4.0902666762845126</v>
      </c>
      <c r="R15" s="8">
        <v>0.16363424781788988</v>
      </c>
      <c r="S15" s="8">
        <v>25</v>
      </c>
    </row>
    <row r="16" spans="1:19">
      <c r="A16" s="7">
        <v>15</v>
      </c>
      <c r="B16" s="10" t="s">
        <v>31</v>
      </c>
      <c r="C16" s="8">
        <v>149.19999999999999</v>
      </c>
      <c r="D16" s="8">
        <v>7.800000000000475</v>
      </c>
      <c r="E16" s="8">
        <v>27</v>
      </c>
      <c r="F16" s="8">
        <v>2.2000000000000073</v>
      </c>
      <c r="G16" s="8">
        <v>0.27800000000000002</v>
      </c>
      <c r="H16" s="8">
        <v>3.7999999999999645E-2</v>
      </c>
      <c r="I16" s="8">
        <v>31.391249999999999</v>
      </c>
      <c r="J16" s="8">
        <v>0.33875000000004774</v>
      </c>
      <c r="K16" s="8">
        <v>1.4982096025938465</v>
      </c>
      <c r="L16" s="8">
        <v>0.1094234173445737</v>
      </c>
      <c r="M16" s="8">
        <v>2.2652173913043478</v>
      </c>
      <c r="N16" s="8">
        <v>6.5217391304346853E-2</v>
      </c>
      <c r="O16" s="8">
        <v>4.175641025641025</v>
      </c>
      <c r="P16" s="8">
        <v>0.22435897435898022</v>
      </c>
      <c r="Q16" s="8">
        <v>3.1331521739130435</v>
      </c>
      <c r="R16" s="8">
        <v>0.25815217391304374</v>
      </c>
      <c r="S16" s="8">
        <v>22</v>
      </c>
    </row>
    <row r="17" spans="1:19">
      <c r="A17" s="7">
        <v>16</v>
      </c>
      <c r="B17" s="10" t="s">
        <v>32</v>
      </c>
      <c r="C17" s="8">
        <v>148.1</v>
      </c>
      <c r="D17" s="8">
        <v>10.500000000000172</v>
      </c>
      <c r="E17" s="8">
        <v>49.8</v>
      </c>
      <c r="F17" s="8">
        <v>0.2000000000010459</v>
      </c>
      <c r="G17" s="8">
        <v>0.42900000000000005</v>
      </c>
      <c r="H17" s="8">
        <v>2.8999999999999665E-2</v>
      </c>
      <c r="I17" s="8">
        <v>53.323750000000004</v>
      </c>
      <c r="J17" s="8">
        <v>0.18374999999949115</v>
      </c>
      <c r="K17" s="8">
        <v>1.3035921182246129</v>
      </c>
      <c r="L17" s="8">
        <v>0.13143864446762801</v>
      </c>
      <c r="M17" s="8">
        <v>4.6365217391304352</v>
      </c>
      <c r="N17" s="8">
        <v>0.25652173913042575</v>
      </c>
      <c r="O17" s="8">
        <v>7.7487179487179496</v>
      </c>
      <c r="P17" s="8">
        <v>1.0487179487179439</v>
      </c>
      <c r="Q17" s="8">
        <v>2.82124981728421</v>
      </c>
      <c r="R17" s="8">
        <v>0.2274439804765877</v>
      </c>
      <c r="S17" s="8">
        <v>27</v>
      </c>
    </row>
    <row r="18" spans="1:19">
      <c r="A18" s="7">
        <v>17</v>
      </c>
      <c r="B18" s="10" t="s">
        <v>33</v>
      </c>
      <c r="C18" s="8">
        <v>145</v>
      </c>
      <c r="D18" s="8">
        <v>5</v>
      </c>
      <c r="E18" s="8">
        <v>35.400000000000006</v>
      </c>
      <c r="F18" s="8">
        <v>1.7999999999999392</v>
      </c>
      <c r="G18" s="8">
        <v>0.34399999999999997</v>
      </c>
      <c r="H18" s="8">
        <v>3.6000000000000268E-2</v>
      </c>
      <c r="I18" s="8">
        <v>43.64875</v>
      </c>
      <c r="J18" s="8">
        <v>5.4612500000000157</v>
      </c>
      <c r="K18" s="8">
        <v>1.7240014014979574</v>
      </c>
      <c r="L18" s="8">
        <v>0.16149213287672159</v>
      </c>
      <c r="M18" s="8">
        <v>3.7860869565217392</v>
      </c>
      <c r="N18" s="8">
        <v>0.18608695652173404</v>
      </c>
      <c r="O18" s="8">
        <v>4.9974358974358974</v>
      </c>
      <c r="P18" s="8">
        <v>0.8025641025641026</v>
      </c>
      <c r="Q18" s="8">
        <v>2.2613010482499556</v>
      </c>
      <c r="R18" s="8">
        <v>0.47058300972105899</v>
      </c>
      <c r="S18" s="8">
        <v>25</v>
      </c>
    </row>
    <row r="19" spans="1:19">
      <c r="A19" s="7">
        <v>18</v>
      </c>
      <c r="B19" s="10" t="s">
        <v>34</v>
      </c>
      <c r="C19" s="8">
        <v>138</v>
      </c>
      <c r="D19" s="8">
        <v>6.399999999999932</v>
      </c>
      <c r="E19" s="8">
        <v>48.6</v>
      </c>
      <c r="F19" s="8">
        <v>1.4000000000000128</v>
      </c>
      <c r="G19" s="8">
        <v>0.247</v>
      </c>
      <c r="H19" s="8">
        <v>4.6999999999999945E-2</v>
      </c>
      <c r="I19" s="8">
        <v>44.681250000000006</v>
      </c>
      <c r="J19" s="8">
        <v>2.6662499999999354</v>
      </c>
      <c r="K19" s="8">
        <v>1.6668745807111542</v>
      </c>
      <c r="L19" s="8">
        <v>1.5754388791084262E-2</v>
      </c>
      <c r="M19" s="8">
        <v>4.5397826086956528</v>
      </c>
      <c r="N19" s="8">
        <v>0.13978260869562706</v>
      </c>
      <c r="O19" s="8">
        <v>4.3025641025641024</v>
      </c>
      <c r="P19" s="8">
        <v>0.99743589743589756</v>
      </c>
      <c r="Q19" s="8">
        <v>1.620055799788398</v>
      </c>
      <c r="R19" s="8">
        <v>0.42243431878867671</v>
      </c>
      <c r="S19" s="8">
        <v>30</v>
      </c>
    </row>
    <row r="20" spans="1:19">
      <c r="A20" s="7">
        <v>19</v>
      </c>
      <c r="B20" s="10" t="s">
        <v>35</v>
      </c>
      <c r="C20" s="8">
        <v>157.69999999999999</v>
      </c>
      <c r="D20" s="8">
        <v>5.1000000000005556</v>
      </c>
      <c r="E20" s="8">
        <v>34.4</v>
      </c>
      <c r="F20" s="8">
        <v>2.3999999999999981</v>
      </c>
      <c r="G20" s="8">
        <v>0.45599999999999996</v>
      </c>
      <c r="H20" s="8">
        <v>3.4000000000000676E-2</v>
      </c>
      <c r="I20" s="8">
        <v>40.450000000000003</v>
      </c>
      <c r="J20" s="8">
        <v>1.8424999999999041</v>
      </c>
      <c r="K20" s="8">
        <v>1.712337111683724</v>
      </c>
      <c r="L20" s="8">
        <v>0.10106655621843119</v>
      </c>
      <c r="M20" s="8">
        <v>4.7021739130434774</v>
      </c>
      <c r="N20" s="8">
        <v>0.14782608695653748</v>
      </c>
      <c r="O20" s="8">
        <v>6.0346153846153854</v>
      </c>
      <c r="P20" s="8">
        <v>6.5384615384555103E-2</v>
      </c>
      <c r="Q20" s="8">
        <v>2.1775551488089828</v>
      </c>
      <c r="R20" s="8">
        <v>4.4879218732779377E-2</v>
      </c>
      <c r="S20" s="8">
        <v>42.5</v>
      </c>
    </row>
    <row r="21" spans="1:19">
      <c r="A21" s="7">
        <v>20</v>
      </c>
      <c r="B21" s="10" t="s">
        <v>36</v>
      </c>
      <c r="C21" s="8">
        <v>138.80000000000001</v>
      </c>
      <c r="D21" s="8">
        <v>4</v>
      </c>
      <c r="E21" s="8">
        <v>32.799999999999997</v>
      </c>
      <c r="F21" s="8">
        <v>3.6000000000000045</v>
      </c>
      <c r="G21" s="8">
        <v>0.73799999999999999</v>
      </c>
      <c r="H21" s="8">
        <v>8.0000000000000071E-3</v>
      </c>
      <c r="I21" s="8">
        <v>40.053750000000001</v>
      </c>
      <c r="J21" s="8">
        <v>6.9137500000000003</v>
      </c>
      <c r="K21" s="8">
        <v>1.564476486658998</v>
      </c>
      <c r="L21" s="8">
        <v>8.4042186532750654E-2</v>
      </c>
      <c r="M21" s="8">
        <v>3.74</v>
      </c>
      <c r="N21" s="8">
        <v>0.22999999999999457</v>
      </c>
      <c r="O21" s="8">
        <v>5.1948717948717942</v>
      </c>
      <c r="P21" s="8">
        <v>0.39487179487179846</v>
      </c>
      <c r="Q21" s="8">
        <v>2.3531559157448982</v>
      </c>
      <c r="R21" s="8">
        <v>3.4315336034753244E-2</v>
      </c>
      <c r="S21" s="8">
        <v>42.5</v>
      </c>
    </row>
    <row r="22" spans="1:19">
      <c r="A22" s="7">
        <v>21</v>
      </c>
      <c r="B22" s="10" t="s">
        <v>37</v>
      </c>
      <c r="C22" s="8">
        <v>137.69999999999999</v>
      </c>
      <c r="D22" s="8">
        <v>4.5</v>
      </c>
      <c r="E22" s="8">
        <v>39.400000000000006</v>
      </c>
      <c r="F22" s="8">
        <v>2.1999999999999815</v>
      </c>
      <c r="G22" s="8">
        <v>0.40600000000000003</v>
      </c>
      <c r="H22" s="8">
        <v>7.5999999999999832E-2</v>
      </c>
      <c r="I22" s="8">
        <v>38.838750000000005</v>
      </c>
      <c r="J22" s="8">
        <v>3.1612499999999817</v>
      </c>
      <c r="K22" s="8">
        <v>1.883652989268144</v>
      </c>
      <c r="L22" s="8">
        <v>5.104132855257007E-2</v>
      </c>
      <c r="M22" s="8">
        <v>4.2878260869565219</v>
      </c>
      <c r="N22" s="8">
        <v>1.2173913043477922E-2</v>
      </c>
      <c r="O22" s="8">
        <v>8.2756410256410255</v>
      </c>
      <c r="P22" s="8">
        <v>2.4358974358975161E-2</v>
      </c>
      <c r="Q22" s="8">
        <v>3.2726617770048527</v>
      </c>
      <c r="R22" s="8">
        <v>3.4125636218540478E-4</v>
      </c>
      <c r="S22" s="8">
        <v>15</v>
      </c>
    </row>
    <row r="23" spans="1:19">
      <c r="A23" s="7">
        <v>22</v>
      </c>
      <c r="B23" s="10" t="s">
        <v>38</v>
      </c>
      <c r="C23" s="8">
        <v>123.5</v>
      </c>
      <c r="D23" s="8">
        <v>10.899999999999977</v>
      </c>
      <c r="E23" s="8">
        <v>36.200000000000003</v>
      </c>
      <c r="F23" s="8">
        <v>2.1999999999999296</v>
      </c>
      <c r="G23" s="8">
        <v>0.90300000000000002</v>
      </c>
      <c r="H23" s="8">
        <v>1.100000000000001E-2</v>
      </c>
      <c r="I23" s="8">
        <v>53.335000000000001</v>
      </c>
      <c r="J23" s="8">
        <v>3.317500000000031</v>
      </c>
      <c r="K23" s="8">
        <v>1.1695538209486869</v>
      </c>
      <c r="L23" s="8">
        <v>0.1165058472961597</v>
      </c>
      <c r="M23" s="8">
        <v>1.2930434782608695</v>
      </c>
      <c r="N23" s="8">
        <v>0.47304347826086901</v>
      </c>
      <c r="O23" s="8">
        <v>7.1217948717948723</v>
      </c>
      <c r="P23" s="8">
        <v>0.32179487179485261</v>
      </c>
      <c r="Q23" s="8">
        <v>8.604115791655623</v>
      </c>
      <c r="R23" s="8">
        <v>1.4573900407939742</v>
      </c>
      <c r="S23" s="8">
        <v>10</v>
      </c>
    </row>
    <row r="24" spans="1:19">
      <c r="A24" s="7">
        <v>23</v>
      </c>
      <c r="B24" s="10" t="s">
        <v>39</v>
      </c>
      <c r="C24" s="8">
        <v>170.60000000000002</v>
      </c>
      <c r="D24" s="8">
        <v>1.1999999999979383</v>
      </c>
      <c r="E24" s="8">
        <v>67.599999999999994</v>
      </c>
      <c r="F24" s="8">
        <v>3.2000000000001076</v>
      </c>
      <c r="G24" s="8">
        <v>0.81899999999999995</v>
      </c>
      <c r="H24" s="8">
        <v>2.9000000000001577E-2</v>
      </c>
      <c r="I24" s="8">
        <v>43.102499999999992</v>
      </c>
      <c r="J24" s="8">
        <v>2.0100000000000411</v>
      </c>
      <c r="K24" s="8">
        <v>1.3777804355742385</v>
      </c>
      <c r="L24" s="8">
        <v>0.19839365631302849</v>
      </c>
      <c r="M24" s="8">
        <v>2.5006521739130436</v>
      </c>
      <c r="N24" s="8">
        <v>9.934782608694917E-2</v>
      </c>
      <c r="O24" s="8">
        <v>5.7807692307692307</v>
      </c>
      <c r="P24" s="8">
        <v>0.48076923076923822</v>
      </c>
      <c r="Q24" s="8">
        <v>3.9390158940084552</v>
      </c>
      <c r="R24" s="8">
        <v>0.48249415487801722</v>
      </c>
      <c r="S24" s="8">
        <v>65</v>
      </c>
    </row>
    <row r="25" spans="1:19">
      <c r="A25" s="7">
        <v>24</v>
      </c>
      <c r="B25" s="10" t="s">
        <v>40</v>
      </c>
      <c r="C25" s="8">
        <v>155.69999999999999</v>
      </c>
      <c r="D25" s="8">
        <v>1.1000000000029102</v>
      </c>
      <c r="E25" s="8">
        <v>26.8</v>
      </c>
      <c r="F25" s="8">
        <v>1.2000000000000226</v>
      </c>
      <c r="G25" s="8">
        <v>0.33900000000000002</v>
      </c>
      <c r="H25" s="8">
        <v>1.0000000000000009E-3</v>
      </c>
      <c r="I25" s="8">
        <v>37.681249999999999</v>
      </c>
      <c r="J25" s="8">
        <v>2.3637500000000267</v>
      </c>
      <c r="K25" s="8">
        <v>1.5906695249377569</v>
      </c>
      <c r="L25" s="8">
        <v>9.2632479532810577E-2</v>
      </c>
      <c r="M25" s="8">
        <v>2.4269565217391307</v>
      </c>
      <c r="N25" s="8">
        <v>0.32695652173912915</v>
      </c>
      <c r="O25" s="8">
        <v>6.8910256410256405</v>
      </c>
      <c r="P25" s="8">
        <v>0.80897435897435876</v>
      </c>
      <c r="Q25" s="8">
        <v>4.9811301327549042</v>
      </c>
      <c r="R25" s="8">
        <v>1.2362611715929224</v>
      </c>
      <c r="S25" s="8">
        <v>55</v>
      </c>
    </row>
    <row r="26" spans="1:19">
      <c r="A26" s="7">
        <v>25</v>
      </c>
      <c r="B26" s="10" t="s">
        <v>41</v>
      </c>
      <c r="C26" s="8">
        <v>149.80000000000001</v>
      </c>
      <c r="D26" s="8">
        <v>2.7999999999987266</v>
      </c>
      <c r="E26" s="8">
        <v>59</v>
      </c>
      <c r="F26" s="8">
        <v>0.60000000000010612</v>
      </c>
      <c r="G26" s="8">
        <v>0.308</v>
      </c>
      <c r="H26" s="8">
        <v>6.7999999999999908E-2</v>
      </c>
      <c r="I26" s="8">
        <v>46.728750000000005</v>
      </c>
      <c r="J26" s="8">
        <v>7.7487499999999843</v>
      </c>
      <c r="K26" s="8">
        <v>1.2577601702259855</v>
      </c>
      <c r="L26" s="8">
        <v>6.8973984976718583E-2</v>
      </c>
      <c r="M26" s="8">
        <v>4.7056521739130428</v>
      </c>
      <c r="N26" s="8">
        <v>0.18565217391305905</v>
      </c>
      <c r="O26" s="8">
        <v>5.1205128205128201</v>
      </c>
      <c r="P26" s="8">
        <v>0.47948717948718367</v>
      </c>
      <c r="Q26" s="8">
        <v>1.854848445983498</v>
      </c>
      <c r="R26" s="8">
        <v>0.24595955709460801</v>
      </c>
      <c r="S26" s="8">
        <v>22.5</v>
      </c>
    </row>
    <row r="27" spans="1:19">
      <c r="A27" s="7">
        <v>26</v>
      </c>
      <c r="B27" s="10" t="s">
        <v>42</v>
      </c>
      <c r="C27" s="8">
        <v>155.69999999999999</v>
      </c>
      <c r="D27" s="8">
        <v>0.30000000000630583</v>
      </c>
      <c r="E27" s="8">
        <v>63.6</v>
      </c>
      <c r="F27" s="8">
        <v>4.4000000000000146</v>
      </c>
      <c r="G27" s="8">
        <v>0.91399999999999992</v>
      </c>
      <c r="H27" s="8">
        <v>3.0000000000002046E-2</v>
      </c>
      <c r="I27" s="8">
        <v>65.511250000000004</v>
      </c>
      <c r="J27" s="8">
        <v>0.74875000000009806</v>
      </c>
      <c r="K27" s="8">
        <v>1.7453820881648432</v>
      </c>
      <c r="L27" s="8">
        <v>5.9322419919993791E-2</v>
      </c>
      <c r="M27" s="8">
        <v>3.9806521739130432</v>
      </c>
      <c r="N27" s="8">
        <v>0.22065217391304437</v>
      </c>
      <c r="O27" s="8">
        <v>6.7371794871794872</v>
      </c>
      <c r="P27" s="8">
        <v>0.26282051282051483</v>
      </c>
      <c r="Q27" s="8">
        <v>2.8849296930996413</v>
      </c>
      <c r="R27" s="8">
        <v>0.27186956684485475</v>
      </c>
      <c r="S27" s="8">
        <v>15</v>
      </c>
    </row>
    <row r="28" spans="1:19">
      <c r="A28" s="7">
        <v>27</v>
      </c>
      <c r="B28" s="10" t="s">
        <v>43</v>
      </c>
      <c r="C28" s="8">
        <v>145.30000000000001</v>
      </c>
      <c r="D28" s="8">
        <v>2.699999999998814</v>
      </c>
      <c r="E28" s="8">
        <v>19.399999999999999</v>
      </c>
      <c r="F28" s="8">
        <v>0.60000000000005871</v>
      </c>
      <c r="G28" s="8">
        <v>0.379</v>
      </c>
      <c r="H28" s="8">
        <v>8.1000000000000058E-2</v>
      </c>
      <c r="I28" s="8">
        <v>62.493749999999999</v>
      </c>
      <c r="J28" s="8">
        <v>1.8237499999998426</v>
      </c>
      <c r="K28" s="8">
        <v>1.2755616368143814</v>
      </c>
      <c r="L28" s="8">
        <v>0.12965784803081168</v>
      </c>
      <c r="M28" s="8">
        <v>2.1630434782608692</v>
      </c>
      <c r="N28" s="8">
        <v>0.26304347826087215</v>
      </c>
      <c r="O28" s="8">
        <v>9.6423076923076945</v>
      </c>
      <c r="P28" s="8">
        <v>0.55769230769230438</v>
      </c>
      <c r="Q28" s="8">
        <v>7.7262185969833439</v>
      </c>
      <c r="R28" s="8">
        <v>1.3767562313919406</v>
      </c>
      <c r="S28" s="8">
        <v>17.5</v>
      </c>
    </row>
    <row r="29" spans="1:19">
      <c r="A29" s="7">
        <v>28</v>
      </c>
      <c r="B29" s="10" t="s">
        <v>44</v>
      </c>
      <c r="C29" s="8">
        <v>92.6</v>
      </c>
      <c r="D29" s="8">
        <v>1.2000000000009701</v>
      </c>
      <c r="E29" s="8">
        <v>54.400000000000006</v>
      </c>
      <c r="F29" s="8">
        <v>5.1999999999999966</v>
      </c>
      <c r="G29" s="8">
        <v>0.437</v>
      </c>
      <c r="H29" s="8">
        <v>7.4999999999999942E-2</v>
      </c>
      <c r="I29" s="8">
        <v>66.245000000000005</v>
      </c>
      <c r="J29" s="8">
        <v>0.93999999999957728</v>
      </c>
      <c r="K29" s="8">
        <v>1.7748065896964103</v>
      </c>
      <c r="L29" s="8">
        <v>5.9825698292150564E-2</v>
      </c>
      <c r="M29" s="8">
        <v>3.9706521739130411</v>
      </c>
      <c r="N29" s="8">
        <v>0.58804347826087111</v>
      </c>
      <c r="O29" s="8">
        <v>6.2628205128205128</v>
      </c>
      <c r="P29" s="8">
        <v>0.29102564102561912</v>
      </c>
      <c r="Q29" s="8">
        <v>2.7156707525624211</v>
      </c>
      <c r="R29" s="8">
        <v>0.27790251221907331</v>
      </c>
      <c r="S29" s="8">
        <v>97.5</v>
      </c>
    </row>
    <row r="30" spans="1:19">
      <c r="A30" s="7">
        <v>29</v>
      </c>
      <c r="B30" s="10" t="s">
        <v>45</v>
      </c>
      <c r="C30" s="8">
        <v>148</v>
      </c>
      <c r="D30" s="8">
        <v>4.8000000000000904</v>
      </c>
      <c r="E30" s="8">
        <v>28.8</v>
      </c>
      <c r="F30" s="8">
        <v>0.7999999999999915</v>
      </c>
      <c r="G30" s="8">
        <v>0.36299999999999999</v>
      </c>
      <c r="H30" s="8">
        <v>2.900000000000014E-2</v>
      </c>
      <c r="I30" s="8">
        <v>64.492500000000007</v>
      </c>
      <c r="J30" s="8">
        <v>6.1924999999999022</v>
      </c>
      <c r="K30" s="8">
        <v>1.5723784675722401</v>
      </c>
      <c r="L30" s="8">
        <v>0.11497396081706529</v>
      </c>
      <c r="M30" s="8">
        <v>3.3428260869565216</v>
      </c>
      <c r="N30" s="8">
        <v>0.55282608695652113</v>
      </c>
      <c r="O30" s="8">
        <v>5.5846153846153843</v>
      </c>
      <c r="P30" s="8">
        <v>1.2153846153846148</v>
      </c>
      <c r="Q30" s="8">
        <v>3.0172790189006879</v>
      </c>
      <c r="R30" s="8">
        <v>1.1154933046149733</v>
      </c>
      <c r="S30" s="8">
        <v>22.5</v>
      </c>
    </row>
    <row r="31" spans="1:19">
      <c r="A31" s="7">
        <v>30</v>
      </c>
      <c r="B31" s="10" t="s">
        <v>46</v>
      </c>
      <c r="C31" s="8">
        <v>132.30000000000001</v>
      </c>
      <c r="D31" s="8">
        <v>4.0999999999992722</v>
      </c>
      <c r="E31" s="8">
        <v>34.6</v>
      </c>
      <c r="F31" s="8">
        <v>3.7999999999999772</v>
      </c>
      <c r="G31" s="8">
        <v>0.436</v>
      </c>
      <c r="H31" s="8">
        <v>1.6000000000000191E-2</v>
      </c>
      <c r="I31" s="8">
        <v>46.041250000000005</v>
      </c>
      <c r="J31" s="8">
        <v>3.8412499999999579</v>
      </c>
      <c r="K31" s="8">
        <v>1.7493497091453183</v>
      </c>
      <c r="L31" s="8">
        <v>0.1149829565003542</v>
      </c>
      <c r="M31" s="8">
        <v>0.78500000000000003</v>
      </c>
      <c r="N31" s="8">
        <v>1.5000000000000012E-2</v>
      </c>
      <c r="O31" s="8">
        <v>5.85</v>
      </c>
      <c r="P31" s="8">
        <v>5.000000000000026E-2</v>
      </c>
      <c r="Q31" s="8">
        <v>12.643068887634104</v>
      </c>
      <c r="R31" s="8">
        <v>0.34959062676453806</v>
      </c>
      <c r="S31" s="8">
        <v>20</v>
      </c>
    </row>
    <row r="32" spans="1:19">
      <c r="A32" s="61" t="s">
        <v>68</v>
      </c>
      <c r="B32" s="61"/>
      <c r="C32" s="56">
        <v>143.47999999999999</v>
      </c>
      <c r="D32" s="55"/>
      <c r="E32" s="56">
        <v>50.33</v>
      </c>
      <c r="F32" s="55"/>
      <c r="G32" s="56">
        <v>0.56000000000000005</v>
      </c>
      <c r="H32" s="55"/>
      <c r="I32" s="56">
        <v>45.91</v>
      </c>
      <c r="J32" s="55"/>
      <c r="K32" s="56">
        <v>1.56</v>
      </c>
      <c r="L32" s="55"/>
      <c r="M32" s="56">
        <v>3.09</v>
      </c>
      <c r="N32" s="55"/>
      <c r="O32" s="56">
        <v>6.4</v>
      </c>
      <c r="P32" s="55"/>
      <c r="Q32" s="56">
        <v>4.24</v>
      </c>
      <c r="R32" s="55"/>
      <c r="S32" s="8">
        <v>36.75</v>
      </c>
    </row>
    <row r="33" spans="1:19">
      <c r="A33" s="61" t="s">
        <v>102</v>
      </c>
      <c r="B33" s="61"/>
      <c r="C33" s="56">
        <v>8.39</v>
      </c>
      <c r="D33" s="55"/>
      <c r="E33" s="56">
        <v>4.12</v>
      </c>
      <c r="F33" s="55"/>
      <c r="G33" s="56">
        <v>7.0000000000000007E-2</v>
      </c>
      <c r="H33" s="55"/>
      <c r="I33" s="56">
        <v>4.1100000000000003</v>
      </c>
      <c r="J33" s="55"/>
      <c r="K33" s="56">
        <v>0.15</v>
      </c>
      <c r="L33" s="55"/>
      <c r="M33" s="56">
        <v>0.35</v>
      </c>
      <c r="N33" s="55"/>
      <c r="O33" s="56">
        <v>0.74</v>
      </c>
      <c r="P33" s="55"/>
      <c r="Q33" s="56">
        <v>0.73</v>
      </c>
      <c r="R33" s="55"/>
      <c r="S33" s="8">
        <v>3.8160153301700999</v>
      </c>
    </row>
    <row r="34" spans="1:19">
      <c r="A34" s="61" t="s">
        <v>103</v>
      </c>
      <c r="B34" s="61"/>
      <c r="C34" s="56">
        <v>5.85</v>
      </c>
      <c r="D34" s="55"/>
      <c r="E34" s="56">
        <v>8.19</v>
      </c>
      <c r="F34" s="55"/>
      <c r="G34" s="56">
        <v>12.91</v>
      </c>
      <c r="H34" s="55"/>
      <c r="I34" s="56">
        <v>8.9600000000000009</v>
      </c>
      <c r="J34" s="55"/>
      <c r="K34" s="56">
        <v>9.84</v>
      </c>
      <c r="L34" s="55"/>
      <c r="M34" s="56">
        <v>11.28</v>
      </c>
      <c r="N34" s="55"/>
      <c r="O34" s="56">
        <v>11.55</v>
      </c>
      <c r="P34" s="55"/>
      <c r="Q34" s="56">
        <v>17.2</v>
      </c>
      <c r="R34" s="55"/>
      <c r="S34" s="8">
        <f>S33/S32*100</f>
        <v>10.383715184136326</v>
      </c>
    </row>
    <row r="35" spans="1:19">
      <c r="A35" s="61" t="s">
        <v>104</v>
      </c>
      <c r="B35" s="61"/>
      <c r="C35" s="56">
        <v>17.16</v>
      </c>
      <c r="D35" s="55"/>
      <c r="E35" s="56">
        <v>8.44</v>
      </c>
      <c r="F35" s="55"/>
      <c r="G35" s="56">
        <v>0.15</v>
      </c>
      <c r="H35" s="55"/>
      <c r="I35" s="56">
        <v>8.41</v>
      </c>
      <c r="J35" s="55"/>
      <c r="K35" s="56">
        <v>0.31</v>
      </c>
      <c r="L35" s="55"/>
      <c r="M35" s="56">
        <v>0.71</v>
      </c>
      <c r="N35" s="55"/>
      <c r="O35" s="56">
        <v>1.51</v>
      </c>
      <c r="P35" s="55"/>
      <c r="Q35" s="56">
        <v>1.49</v>
      </c>
      <c r="R35" s="55"/>
      <c r="S35" s="55" t="s">
        <v>106</v>
      </c>
    </row>
  </sheetData>
  <mergeCells count="4">
    <mergeCell ref="A32:B32"/>
    <mergeCell ref="A33:B33"/>
    <mergeCell ref="A34:B34"/>
    <mergeCell ref="A35:B35"/>
  </mergeCells>
  <conditionalFormatting sqref="C2:C31">
    <cfRule type="top10" dxfId="8" priority="17" percent="1" rank="10"/>
  </conditionalFormatting>
  <conditionalFormatting sqref="G2:G31">
    <cfRule type="top10" dxfId="7" priority="15" percent="1" rank="20"/>
  </conditionalFormatting>
  <conditionalFormatting sqref="M2:M31">
    <cfRule type="top10" dxfId="6" priority="9" percent="1" bottom="1" rank="10"/>
  </conditionalFormatting>
  <conditionalFormatting sqref="O2:O31">
    <cfRule type="top10" dxfId="5" priority="8" percent="1" rank="10"/>
  </conditionalFormatting>
  <conditionalFormatting sqref="Q2:Q31">
    <cfRule type="top10" dxfId="4" priority="7" percent="1" rank="10"/>
  </conditionalFormatting>
  <conditionalFormatting sqref="S2:S31">
    <cfRule type="top10" dxfId="3" priority="5" percent="1" bottom="1" rank="10"/>
  </conditionalFormatting>
  <conditionalFormatting sqref="K2:K31">
    <cfRule type="top10" dxfId="2" priority="4" percent="1" rank="10"/>
  </conditionalFormatting>
  <conditionalFormatting sqref="I2:I31">
    <cfRule type="top10" dxfId="1" priority="2" percent="1" rank="10"/>
  </conditionalFormatting>
  <conditionalFormatting sqref="E2:E31">
    <cfRule type="top10" dxfId="0" priority="1" percent="1" rank="20"/>
  </conditionalFormatting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topLeftCell="B15" zoomScale="70" zoomScaleNormal="70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171.36599999968894</v>
      </c>
      <c r="G3" s="21">
        <f>F3/E3</f>
        <v>171.36599999968894</v>
      </c>
      <c r="H3" s="21">
        <f>G3/G5</f>
        <v>2.4353045641204942</v>
      </c>
      <c r="I3" s="22">
        <f>FINV(0.05,E3,E$5)</f>
        <v>4.1829641621552192</v>
      </c>
      <c r="J3" s="23" t="str">
        <f>IF(H3&gt;K3,"**",IF(H3&gt;I3,"*","NS"))</f>
        <v>NS</v>
      </c>
      <c r="K3" s="22">
        <f>FINV(0.01,E3,E$5)</f>
        <v>7.5976632412849163</v>
      </c>
      <c r="L3" s="13">
        <f>FDIST(H3,E3,E$5)</f>
        <v>0.12947867156895931</v>
      </c>
    </row>
    <row r="4" spans="1:16">
      <c r="B4" s="16" t="s">
        <v>67</v>
      </c>
      <c r="C4" s="24">
        <f>I74</f>
        <v>8608.6</v>
      </c>
      <c r="D4" s="20" t="s">
        <v>3</v>
      </c>
      <c r="E4" s="21">
        <f>C2-1</f>
        <v>29</v>
      </c>
      <c r="F4" s="21">
        <f>(SUMSQ(I13:I73)/C3)-C6</f>
        <v>19038.627333333017</v>
      </c>
      <c r="G4" s="21">
        <f>F4/E4</f>
        <v>656.50439080458682</v>
      </c>
      <c r="H4" s="21">
        <f>G4/G5</f>
        <v>9.3296694752427971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2.1706916268793191E-8</v>
      </c>
    </row>
    <row r="5" spans="1:16">
      <c r="B5" s="16" t="s">
        <v>68</v>
      </c>
      <c r="C5" s="24">
        <f>I74/(C2*C3)</f>
        <v>143.47666666666666</v>
      </c>
      <c r="D5" s="20" t="s">
        <v>69</v>
      </c>
      <c r="E5" s="21">
        <f>E4*E3</f>
        <v>29</v>
      </c>
      <c r="F5" s="21">
        <f>F6-F4-F3</f>
        <v>2040.6540000000969</v>
      </c>
      <c r="G5" s="22">
        <f>F5/E5</f>
        <v>70.36737931034817</v>
      </c>
      <c r="H5" s="21"/>
      <c r="I5" s="21"/>
      <c r="J5" s="23"/>
    </row>
    <row r="6" spans="1:16">
      <c r="B6" s="16" t="s">
        <v>70</v>
      </c>
      <c r="C6" s="24">
        <f>POWER(I74,2)/(C2*C3)</f>
        <v>1235133.2326666669</v>
      </c>
      <c r="D6" s="18" t="s">
        <v>71</v>
      </c>
      <c r="E6" s="26">
        <f>C2*C3-1</f>
        <v>59</v>
      </c>
      <c r="F6" s="26">
        <f>SUMSQ(B13:H73)-C6</f>
        <v>21250.647333332803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8.3885266471739932</v>
      </c>
      <c r="G7" s="31"/>
      <c r="H7" s="31"/>
      <c r="I7" s="31"/>
    </row>
    <row r="8" spans="1:16">
      <c r="D8" s="60" t="s">
        <v>73</v>
      </c>
      <c r="E8" s="60"/>
      <c r="F8" s="32">
        <f>SQRT((G5)/C3)</f>
        <v>5.9315840763807843</v>
      </c>
      <c r="I8" s="33"/>
    </row>
    <row r="9" spans="1:16">
      <c r="D9" s="60" t="s">
        <v>74</v>
      </c>
      <c r="E9" s="60"/>
      <c r="F9" s="32">
        <f>TINV(0.05,E5)*F8*SQRT(2)</f>
        <v>17.156463092373357</v>
      </c>
      <c r="G9" s="13" t="s">
        <v>75</v>
      </c>
      <c r="H9" s="32">
        <f>TINV(0.01,E5)*F8*SQRT(2)</f>
        <v>23.122016589644275</v>
      </c>
    </row>
    <row r="10" spans="1:16">
      <c r="D10" s="60" t="s">
        <v>76</v>
      </c>
      <c r="E10" s="60"/>
      <c r="F10" s="32">
        <f>SQRT(G5)/C5*100</f>
        <v>5.8466138376790608</v>
      </c>
    </row>
    <row r="11" spans="1:16">
      <c r="D11" s="23"/>
      <c r="E11" s="34"/>
      <c r="O11" s="35" t="s">
        <v>68</v>
      </c>
      <c r="P11" s="36">
        <f>C5</f>
        <v>143.47666666666666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8.3885266471739932</v>
      </c>
    </row>
    <row r="13" spans="1:16" ht="15">
      <c r="A13" s="40">
        <v>1</v>
      </c>
      <c r="B13">
        <v>146.4</v>
      </c>
      <c r="C13">
        <v>147.19999999999999</v>
      </c>
      <c r="D13" s="42"/>
      <c r="E13" s="43"/>
      <c r="F13" s="43"/>
      <c r="G13" s="43"/>
      <c r="H13" s="43"/>
      <c r="I13" s="44">
        <f t="shared" ref="I13:I28" si="0">SUM(B13:H13)</f>
        <v>293.60000000000002</v>
      </c>
      <c r="J13" s="45">
        <f t="shared" ref="J13:J73" si="1">AVERAGE(B13:H13)</f>
        <v>146.80000000000001</v>
      </c>
      <c r="K13" s="26">
        <f t="shared" ref="K13:K73" si="2">STDEV(B13:D13)/SQRT(C$3)</f>
        <v>0.39999999999981806</v>
      </c>
      <c r="O13" s="38" t="s">
        <v>82</v>
      </c>
      <c r="P13" s="39">
        <f>F7/C5*100</f>
        <v>5.8466138376790608</v>
      </c>
    </row>
    <row r="14" spans="1:16" ht="15">
      <c r="A14" s="40">
        <v>2</v>
      </c>
      <c r="B14">
        <v>142.4</v>
      </c>
      <c r="C14">
        <v>138.6</v>
      </c>
      <c r="D14" s="42"/>
      <c r="E14" s="43"/>
      <c r="F14" s="43"/>
      <c r="G14" s="43"/>
      <c r="H14" s="43"/>
      <c r="I14" s="44">
        <f t="shared" si="0"/>
        <v>281</v>
      </c>
      <c r="J14" s="45">
        <f t="shared" si="1"/>
        <v>140.5</v>
      </c>
      <c r="K14" s="26">
        <f t="shared" si="2"/>
        <v>1.9000000000001531</v>
      </c>
      <c r="O14" s="38" t="s">
        <v>83</v>
      </c>
      <c r="P14" s="39">
        <f>F7/SQRT(C3)</f>
        <v>5.9315840763807834</v>
      </c>
    </row>
    <row r="15" spans="1:16" ht="15">
      <c r="A15" s="40">
        <v>3</v>
      </c>
      <c r="B15">
        <v>156.4</v>
      </c>
      <c r="C15">
        <v>180</v>
      </c>
      <c r="D15" s="42"/>
      <c r="E15" s="43"/>
      <c r="F15" s="43"/>
      <c r="G15" s="43"/>
      <c r="H15" s="43"/>
      <c r="I15" s="44">
        <f t="shared" si="0"/>
        <v>336.4</v>
      </c>
      <c r="J15" s="45">
        <f t="shared" si="1"/>
        <v>168.2</v>
      </c>
      <c r="K15" s="26">
        <f t="shared" si="2"/>
        <v>11.800000000000223</v>
      </c>
      <c r="O15" s="38" t="s">
        <v>84</v>
      </c>
      <c r="P15" s="39">
        <f>F8*SQRT(2)</f>
        <v>8.388526647173995</v>
      </c>
    </row>
    <row r="16" spans="1:16" ht="15">
      <c r="A16" s="40">
        <v>4</v>
      </c>
      <c r="B16">
        <v>150.19999999999999</v>
      </c>
      <c r="C16">
        <v>151</v>
      </c>
      <c r="D16" s="42"/>
      <c r="E16" s="43"/>
      <c r="F16" s="43"/>
      <c r="G16" s="43"/>
      <c r="H16" s="43"/>
      <c r="I16" s="44">
        <f t="shared" si="0"/>
        <v>301.2</v>
      </c>
      <c r="J16" s="45">
        <f t="shared" si="1"/>
        <v>150.6</v>
      </c>
      <c r="K16" s="26">
        <f t="shared" si="2"/>
        <v>0.39999999999981806</v>
      </c>
      <c r="O16" s="38" t="s">
        <v>85</v>
      </c>
      <c r="P16" s="39">
        <f>TINV(0.05,E5)*F8*SQRT(2)</f>
        <v>17.156463092373357</v>
      </c>
    </row>
    <row r="17" spans="1:16" ht="15">
      <c r="A17" s="40">
        <v>5</v>
      </c>
      <c r="B17">
        <v>151</v>
      </c>
      <c r="C17">
        <v>163.4</v>
      </c>
      <c r="D17" s="42"/>
      <c r="E17" s="43"/>
      <c r="F17" s="43"/>
      <c r="G17" s="43"/>
      <c r="H17" s="43"/>
      <c r="I17" s="44">
        <f t="shared" si="0"/>
        <v>314.39999999999998</v>
      </c>
      <c r="J17" s="45">
        <f t="shared" si="1"/>
        <v>157.19999999999999</v>
      </c>
      <c r="K17" s="26">
        <f t="shared" si="2"/>
        <v>6.2000000000001867</v>
      </c>
      <c r="O17" s="38" t="s">
        <v>86</v>
      </c>
      <c r="P17" s="39">
        <f>TINV(0.01,E5)*F8*SQRT(2)</f>
        <v>23.122016589644275</v>
      </c>
    </row>
    <row r="18" spans="1:16" ht="15">
      <c r="A18" s="40">
        <v>6</v>
      </c>
      <c r="B18">
        <v>165.4</v>
      </c>
      <c r="C18">
        <v>156.6</v>
      </c>
      <c r="D18" s="42"/>
      <c r="E18" s="43"/>
      <c r="F18" s="43"/>
      <c r="G18" s="43"/>
      <c r="H18" s="43"/>
      <c r="I18" s="44">
        <f t="shared" si="0"/>
        <v>322</v>
      </c>
      <c r="J18" s="45">
        <f t="shared" si="1"/>
        <v>161</v>
      </c>
      <c r="K18" s="26">
        <f t="shared" si="2"/>
        <v>4.4000000000000661</v>
      </c>
      <c r="O18" s="38" t="s">
        <v>87</v>
      </c>
      <c r="P18" s="39">
        <f>(G4-G5)/C3</f>
        <v>293.06850574711933</v>
      </c>
    </row>
    <row r="19" spans="1:16" ht="15">
      <c r="A19" s="40">
        <v>7</v>
      </c>
      <c r="B19">
        <v>148.6</v>
      </c>
      <c r="C19">
        <v>168.8</v>
      </c>
      <c r="D19" s="42"/>
      <c r="E19" s="43"/>
      <c r="F19" s="43"/>
      <c r="G19" s="43"/>
      <c r="H19" s="43"/>
      <c r="I19" s="44">
        <f t="shared" si="0"/>
        <v>317.39999999999998</v>
      </c>
      <c r="J19" s="45">
        <f t="shared" si="1"/>
        <v>158.69999999999999</v>
      </c>
      <c r="K19" s="26">
        <f t="shared" si="2"/>
        <v>10.10000000000028</v>
      </c>
      <c r="O19" s="38" t="s">
        <v>88</v>
      </c>
      <c r="P19" s="39">
        <f>P18+G5</f>
        <v>363.43588505746749</v>
      </c>
    </row>
    <row r="20" spans="1:16" ht="15">
      <c r="A20" s="40">
        <v>8</v>
      </c>
      <c r="B20">
        <v>148</v>
      </c>
      <c r="C20">
        <v>158.80000000000001</v>
      </c>
      <c r="D20" s="42"/>
      <c r="E20" s="43"/>
      <c r="F20" s="43"/>
      <c r="G20" s="43"/>
      <c r="H20" s="43"/>
      <c r="I20" s="44">
        <f t="shared" si="0"/>
        <v>306.8</v>
      </c>
      <c r="J20" s="45">
        <f t="shared" si="1"/>
        <v>153.4</v>
      </c>
      <c r="K20" s="26">
        <f t="shared" si="2"/>
        <v>5.3999999999999861</v>
      </c>
      <c r="O20" s="38" t="s">
        <v>89</v>
      </c>
      <c r="P20" s="39">
        <f>SQRT(P18)</f>
        <v>17.119243725910305</v>
      </c>
    </row>
    <row r="21" spans="1:16" ht="15">
      <c r="A21" s="40">
        <v>9</v>
      </c>
      <c r="B21">
        <v>85.2</v>
      </c>
      <c r="C21">
        <v>91.8</v>
      </c>
      <c r="D21" s="42"/>
      <c r="E21" s="43"/>
      <c r="F21" s="43"/>
      <c r="G21" s="43"/>
      <c r="H21" s="43"/>
      <c r="I21" s="44">
        <f t="shared" si="0"/>
        <v>177</v>
      </c>
      <c r="J21" s="45">
        <f t="shared" si="1"/>
        <v>88.5</v>
      </c>
      <c r="K21" s="26">
        <f t="shared" si="2"/>
        <v>3.3000000000000491</v>
      </c>
      <c r="O21" s="38" t="s">
        <v>90</v>
      </c>
      <c r="P21" s="39">
        <f>SQRT(P19)</f>
        <v>19.063994467515656</v>
      </c>
    </row>
    <row r="22" spans="1:16" ht="15">
      <c r="A22" s="40">
        <v>10</v>
      </c>
      <c r="B22">
        <v>137.19999999999999</v>
      </c>
      <c r="C22">
        <v>140.19999999999999</v>
      </c>
      <c r="D22" s="42"/>
      <c r="E22" s="43"/>
      <c r="F22" s="43"/>
      <c r="G22" s="43"/>
      <c r="H22" s="43"/>
      <c r="I22" s="44">
        <f t="shared" si="0"/>
        <v>277.39999999999998</v>
      </c>
      <c r="J22" s="45">
        <f t="shared" si="1"/>
        <v>138.69999999999999</v>
      </c>
      <c r="K22" s="26">
        <f t="shared" si="2"/>
        <v>1.4999999999999998</v>
      </c>
      <c r="O22" s="38" t="s">
        <v>91</v>
      </c>
      <c r="P22" s="39">
        <f>G5</f>
        <v>70.36737931034817</v>
      </c>
    </row>
    <row r="23" spans="1:16" ht="15">
      <c r="A23" s="40">
        <v>11</v>
      </c>
      <c r="B23">
        <v>151.6</v>
      </c>
      <c r="C23">
        <v>150.19999999999999</v>
      </c>
      <c r="D23" s="42"/>
      <c r="E23" s="43"/>
      <c r="F23" s="43"/>
      <c r="G23" s="43"/>
      <c r="H23" s="43"/>
      <c r="I23" s="44">
        <f t="shared" si="0"/>
        <v>301.79999999999995</v>
      </c>
      <c r="J23" s="45">
        <f t="shared" si="1"/>
        <v>150.89999999999998</v>
      </c>
      <c r="K23" s="26">
        <f t="shared" si="2"/>
        <v>0.70000000000114337</v>
      </c>
      <c r="O23" s="38" t="s">
        <v>92</v>
      </c>
      <c r="P23" s="39">
        <f>SQRT(P22)</f>
        <v>8.3885266471739932</v>
      </c>
    </row>
    <row r="24" spans="1:16" ht="15">
      <c r="A24" s="40">
        <v>12</v>
      </c>
      <c r="B24">
        <v>130.6</v>
      </c>
      <c r="C24">
        <v>123</v>
      </c>
      <c r="D24" s="42"/>
      <c r="E24" s="43"/>
      <c r="F24" s="43"/>
      <c r="G24" s="43"/>
      <c r="H24" s="43"/>
      <c r="I24" s="44">
        <f t="shared" si="0"/>
        <v>253.6</v>
      </c>
      <c r="J24" s="45">
        <f t="shared" si="1"/>
        <v>126.8</v>
      </c>
      <c r="K24" s="26">
        <f t="shared" si="2"/>
        <v>3.7999999999998275</v>
      </c>
      <c r="O24" s="38" t="s">
        <v>93</v>
      </c>
      <c r="P24" s="39">
        <f>P20/C5*100</f>
        <v>11.931726686739056</v>
      </c>
    </row>
    <row r="25" spans="1:16" ht="15">
      <c r="A25" s="40">
        <v>13</v>
      </c>
      <c r="B25">
        <v>145</v>
      </c>
      <c r="C25">
        <v>133.80000000000001</v>
      </c>
      <c r="D25" s="42"/>
      <c r="E25" s="43"/>
      <c r="F25" s="43"/>
      <c r="G25" s="43"/>
      <c r="H25" s="43"/>
      <c r="I25" s="44">
        <f t="shared" si="0"/>
        <v>278.8</v>
      </c>
      <c r="J25" s="45">
        <f t="shared" si="1"/>
        <v>139.4</v>
      </c>
      <c r="K25" s="26">
        <f t="shared" si="2"/>
        <v>5.6000000000000512</v>
      </c>
      <c r="O25" s="38" t="s">
        <v>94</v>
      </c>
      <c r="P25" s="39">
        <f>P21/C5*100</f>
        <v>13.287174082323949</v>
      </c>
    </row>
    <row r="26" spans="1:16" ht="15">
      <c r="A26" s="40">
        <v>14</v>
      </c>
      <c r="B26">
        <v>120.2</v>
      </c>
      <c r="C26">
        <v>151</v>
      </c>
      <c r="D26" s="42"/>
      <c r="E26" s="43"/>
      <c r="F26" s="43"/>
      <c r="G26" s="43"/>
      <c r="H26" s="43"/>
      <c r="I26" s="44">
        <f t="shared" si="0"/>
        <v>271.2</v>
      </c>
      <c r="J26" s="45">
        <f t="shared" si="1"/>
        <v>135.6</v>
      </c>
      <c r="K26" s="26">
        <f t="shared" si="2"/>
        <v>15.400000000000112</v>
      </c>
      <c r="O26" s="38" t="s">
        <v>95</v>
      </c>
      <c r="P26" s="39">
        <f>P23/C5*100</f>
        <v>5.8466138376790608</v>
      </c>
    </row>
    <row r="27" spans="1:16" ht="15">
      <c r="A27" s="40">
        <v>15</v>
      </c>
      <c r="B27">
        <v>141.4</v>
      </c>
      <c r="C27">
        <v>157</v>
      </c>
      <c r="D27" s="42"/>
      <c r="E27" s="43"/>
      <c r="F27" s="43"/>
      <c r="G27" s="43"/>
      <c r="H27" s="43"/>
      <c r="I27" s="44">
        <f t="shared" si="0"/>
        <v>298.39999999999998</v>
      </c>
      <c r="J27" s="45">
        <f t="shared" si="1"/>
        <v>149.19999999999999</v>
      </c>
      <c r="K27" s="26">
        <f t="shared" si="2"/>
        <v>7.800000000000475</v>
      </c>
      <c r="O27" s="38" t="s">
        <v>96</v>
      </c>
      <c r="P27" s="39">
        <f>P18/P19*100</f>
        <v>80.638296270820504</v>
      </c>
    </row>
    <row r="28" spans="1:16" ht="15">
      <c r="A28" s="40">
        <v>16</v>
      </c>
      <c r="B28">
        <v>158.6</v>
      </c>
      <c r="C28">
        <v>137.6</v>
      </c>
      <c r="D28" s="42"/>
      <c r="E28" s="43"/>
      <c r="F28" s="43"/>
      <c r="G28" s="43"/>
      <c r="H28" s="43"/>
      <c r="I28" s="44">
        <f t="shared" si="0"/>
        <v>296.2</v>
      </c>
      <c r="J28" s="45">
        <f t="shared" si="1"/>
        <v>148.1</v>
      </c>
      <c r="K28" s="26">
        <f t="shared" si="2"/>
        <v>10.500000000000172</v>
      </c>
      <c r="O28" s="38" t="s">
        <v>97</v>
      </c>
      <c r="P28" s="39">
        <f>P18/P21*2.06</f>
        <v>31.668133499922295</v>
      </c>
    </row>
    <row r="29" spans="1:16" ht="15">
      <c r="A29" s="40">
        <v>17</v>
      </c>
      <c r="B29">
        <v>140</v>
      </c>
      <c r="C29">
        <v>150</v>
      </c>
      <c r="D29" s="42"/>
      <c r="E29" s="43"/>
      <c r="F29" s="43"/>
      <c r="G29" s="43"/>
      <c r="H29" s="43"/>
      <c r="I29" s="44">
        <f t="shared" ref="I29:I44" si="3">SUM(B29:H29)</f>
        <v>290</v>
      </c>
      <c r="J29" s="45">
        <f t="shared" si="1"/>
        <v>145</v>
      </c>
      <c r="K29" s="45">
        <f t="shared" si="2"/>
        <v>5</v>
      </c>
      <c r="O29" s="47" t="s">
        <v>98</v>
      </c>
      <c r="P29" s="48">
        <f>P28/C5*100</f>
        <v>22.071974653199568</v>
      </c>
    </row>
    <row r="30" spans="1:16" ht="15">
      <c r="A30" s="40">
        <v>18</v>
      </c>
      <c r="B30">
        <v>144.4</v>
      </c>
      <c r="C30">
        <v>131.6</v>
      </c>
      <c r="D30" s="42"/>
      <c r="E30" s="43"/>
      <c r="F30" s="43"/>
      <c r="G30" s="43"/>
      <c r="H30" s="43"/>
      <c r="I30" s="44">
        <f t="shared" si="3"/>
        <v>276</v>
      </c>
      <c r="J30" s="45">
        <f t="shared" si="1"/>
        <v>138</v>
      </c>
      <c r="K30" s="45">
        <f t="shared" si="2"/>
        <v>6.399999999999932</v>
      </c>
    </row>
    <row r="31" spans="1:16" ht="15">
      <c r="A31" s="40">
        <v>19</v>
      </c>
      <c r="B31">
        <v>152.6</v>
      </c>
      <c r="C31">
        <v>162.80000000000001</v>
      </c>
      <c r="D31" s="42"/>
      <c r="E31" s="43"/>
      <c r="F31" s="43"/>
      <c r="G31" s="43"/>
      <c r="H31" s="43"/>
      <c r="I31" s="44">
        <f t="shared" si="3"/>
        <v>315.39999999999998</v>
      </c>
      <c r="J31" s="45">
        <f t="shared" si="1"/>
        <v>157.69999999999999</v>
      </c>
      <c r="K31" s="45">
        <f t="shared" si="2"/>
        <v>5.1000000000005556</v>
      </c>
    </row>
    <row r="32" spans="1:16" ht="15">
      <c r="A32" s="40">
        <v>20</v>
      </c>
      <c r="B32">
        <v>142.80000000000001</v>
      </c>
      <c r="C32">
        <v>134.80000000000001</v>
      </c>
      <c r="D32" s="42"/>
      <c r="E32" s="43"/>
      <c r="F32" s="43"/>
      <c r="G32" s="43"/>
      <c r="H32" s="43"/>
      <c r="I32" s="44">
        <f t="shared" si="3"/>
        <v>277.60000000000002</v>
      </c>
      <c r="J32" s="45">
        <f t="shared" si="1"/>
        <v>138.80000000000001</v>
      </c>
      <c r="K32" s="45">
        <f t="shared" si="2"/>
        <v>4</v>
      </c>
    </row>
    <row r="33" spans="1:11" ht="15">
      <c r="A33" s="40">
        <v>21</v>
      </c>
      <c r="B33">
        <v>133.19999999999999</v>
      </c>
      <c r="C33">
        <v>142.19999999999999</v>
      </c>
      <c r="D33" s="42"/>
      <c r="E33" s="43"/>
      <c r="F33" s="43"/>
      <c r="G33" s="43"/>
      <c r="H33" s="43"/>
      <c r="I33" s="44">
        <f t="shared" si="3"/>
        <v>275.39999999999998</v>
      </c>
      <c r="J33" s="45">
        <f t="shared" si="1"/>
        <v>137.69999999999999</v>
      </c>
      <c r="K33" s="45">
        <f t="shared" si="2"/>
        <v>4.5</v>
      </c>
    </row>
    <row r="34" spans="1:11" ht="15">
      <c r="A34" s="40">
        <v>22</v>
      </c>
      <c r="B34">
        <v>112.6</v>
      </c>
      <c r="C34">
        <v>134.4</v>
      </c>
      <c r="D34" s="42"/>
      <c r="E34" s="43"/>
      <c r="F34" s="43"/>
      <c r="G34" s="43"/>
      <c r="H34" s="43"/>
      <c r="I34" s="44">
        <f t="shared" si="3"/>
        <v>247</v>
      </c>
      <c r="J34" s="45">
        <f t="shared" si="1"/>
        <v>123.5</v>
      </c>
      <c r="K34" s="45">
        <f t="shared" si="2"/>
        <v>10.899999999999977</v>
      </c>
    </row>
    <row r="35" spans="1:11" ht="15">
      <c r="A35" s="40">
        <v>23</v>
      </c>
      <c r="B35">
        <v>169.4</v>
      </c>
      <c r="C35">
        <v>171.8</v>
      </c>
      <c r="D35" s="42"/>
      <c r="E35" s="43"/>
      <c r="F35" s="43"/>
      <c r="G35" s="43"/>
      <c r="H35" s="43"/>
      <c r="I35" s="44">
        <f t="shared" si="3"/>
        <v>341.20000000000005</v>
      </c>
      <c r="J35" s="45">
        <f t="shared" si="1"/>
        <v>170.60000000000002</v>
      </c>
      <c r="K35" s="45">
        <f t="shared" si="2"/>
        <v>1.1999999999979383</v>
      </c>
    </row>
    <row r="36" spans="1:11" ht="15">
      <c r="A36" s="40">
        <v>24</v>
      </c>
      <c r="B36">
        <v>154.6</v>
      </c>
      <c r="C36">
        <v>156.80000000000001</v>
      </c>
      <c r="D36" s="42"/>
      <c r="E36" s="43"/>
      <c r="F36" s="43"/>
      <c r="G36" s="43"/>
      <c r="H36" s="43"/>
      <c r="I36" s="44">
        <f t="shared" si="3"/>
        <v>311.39999999999998</v>
      </c>
      <c r="J36" s="45">
        <f t="shared" si="1"/>
        <v>155.69999999999999</v>
      </c>
      <c r="K36" s="45">
        <f t="shared" si="2"/>
        <v>1.1000000000029102</v>
      </c>
    </row>
    <row r="37" spans="1:11" ht="15">
      <c r="A37" s="40">
        <v>25</v>
      </c>
      <c r="B37">
        <v>147</v>
      </c>
      <c r="C37">
        <v>152.6</v>
      </c>
      <c r="D37" s="49"/>
      <c r="E37" s="43"/>
      <c r="F37" s="43"/>
      <c r="G37" s="43"/>
      <c r="H37" s="43"/>
      <c r="I37" s="44">
        <f t="shared" si="3"/>
        <v>299.60000000000002</v>
      </c>
      <c r="J37" s="45">
        <f t="shared" si="1"/>
        <v>149.80000000000001</v>
      </c>
      <c r="K37" s="45">
        <f t="shared" si="2"/>
        <v>2.7999999999987266</v>
      </c>
    </row>
    <row r="38" spans="1:11" ht="15">
      <c r="A38" s="40">
        <v>26</v>
      </c>
      <c r="B38">
        <v>156</v>
      </c>
      <c r="C38">
        <v>155.4</v>
      </c>
      <c r="D38" s="49"/>
      <c r="E38" s="43"/>
      <c r="F38" s="43"/>
      <c r="G38" s="43"/>
      <c r="H38" s="43"/>
      <c r="I38" s="44">
        <f t="shared" si="3"/>
        <v>311.39999999999998</v>
      </c>
      <c r="J38" s="45">
        <f t="shared" si="1"/>
        <v>155.69999999999999</v>
      </c>
      <c r="K38" s="45">
        <f t="shared" si="2"/>
        <v>0.30000000000630583</v>
      </c>
    </row>
    <row r="39" spans="1:11" ht="15">
      <c r="A39" s="40">
        <v>27</v>
      </c>
      <c r="B39">
        <v>148</v>
      </c>
      <c r="C39">
        <v>142.6</v>
      </c>
      <c r="D39" s="49"/>
      <c r="E39" s="43"/>
      <c r="F39" s="43"/>
      <c r="G39" s="43"/>
      <c r="H39" s="43"/>
      <c r="I39" s="44">
        <f t="shared" si="3"/>
        <v>290.60000000000002</v>
      </c>
      <c r="J39" s="45">
        <f t="shared" si="1"/>
        <v>145.30000000000001</v>
      </c>
      <c r="K39" s="45">
        <f t="shared" si="2"/>
        <v>2.699999999998814</v>
      </c>
    </row>
    <row r="40" spans="1:11" ht="15">
      <c r="A40" s="40">
        <v>28</v>
      </c>
      <c r="B40">
        <v>93.8</v>
      </c>
      <c r="C40">
        <v>91.4</v>
      </c>
      <c r="D40" s="49"/>
      <c r="E40" s="43"/>
      <c r="F40" s="43"/>
      <c r="G40" s="43"/>
      <c r="H40" s="43"/>
      <c r="I40" s="44">
        <f t="shared" si="3"/>
        <v>185.2</v>
      </c>
      <c r="J40" s="45">
        <f t="shared" si="1"/>
        <v>92.6</v>
      </c>
      <c r="K40" s="45">
        <f t="shared" si="2"/>
        <v>1.2000000000009701</v>
      </c>
    </row>
    <row r="41" spans="1:11" ht="15">
      <c r="A41" s="40">
        <v>29</v>
      </c>
      <c r="B41">
        <v>152.80000000000001</v>
      </c>
      <c r="C41">
        <v>143.19999999999999</v>
      </c>
      <c r="D41" s="49"/>
      <c r="E41" s="43"/>
      <c r="F41" s="43"/>
      <c r="G41" s="43"/>
      <c r="H41" s="43"/>
      <c r="I41" s="44">
        <f t="shared" si="3"/>
        <v>296</v>
      </c>
      <c r="J41" s="45">
        <f t="shared" si="1"/>
        <v>148</v>
      </c>
      <c r="K41" s="45">
        <f t="shared" si="2"/>
        <v>4.8000000000000904</v>
      </c>
    </row>
    <row r="42" spans="1:11" ht="15">
      <c r="A42" s="40">
        <v>30</v>
      </c>
      <c r="B42">
        <v>128.19999999999999</v>
      </c>
      <c r="C42">
        <v>136.4</v>
      </c>
      <c r="D42" s="49"/>
      <c r="E42" s="43"/>
      <c r="F42" s="43"/>
      <c r="G42" s="43"/>
      <c r="H42" s="43"/>
      <c r="I42" s="44">
        <f t="shared" si="3"/>
        <v>264.60000000000002</v>
      </c>
      <c r="J42" s="45">
        <f t="shared" si="1"/>
        <v>132.30000000000001</v>
      </c>
      <c r="K42" s="45">
        <f t="shared" si="2"/>
        <v>4.0999999999992722</v>
      </c>
    </row>
    <row r="43" spans="1:11" ht="15">
      <c r="A43" s="40">
        <v>31</v>
      </c>
      <c r="B43" s="41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 s="41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 s="46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 s="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 s="46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 s="46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 s="46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 s="46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 s="46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 s="46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 s="46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 s="46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 s="46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 s="4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 s="46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 s="46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 s="46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 s="46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 s="49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 s="49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 s="49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 s="49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 s="49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 s="49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 s="49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 s="49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 s="4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 s="49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 s="49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 s="49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4253.5999999999995</v>
      </c>
      <c r="C74" s="51">
        <f>SUM(C13:C73)</f>
        <v>4355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8608.6</v>
      </c>
      <c r="J74" s="32"/>
    </row>
    <row r="75" spans="1:11">
      <c r="B75" s="25">
        <f>AVERAGE(B13:B28)</f>
        <v>142.38749999999999</v>
      </c>
      <c r="C75" s="25">
        <f>AVERAGE(C13:C28)</f>
        <v>146.81249999999997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4"/>
  <sheetViews>
    <sheetView topLeftCell="A7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1.5746400000011818E-2</v>
      </c>
      <c r="G3" s="21">
        <f>F3/E3</f>
        <v>1.5746400000011818E-2</v>
      </c>
      <c r="H3" s="21">
        <f>G3/G5</f>
        <v>3.0589543520460802</v>
      </c>
      <c r="I3" s="22">
        <f>FINV(0.05,E3,E$5)</f>
        <v>4.1829641621552192</v>
      </c>
      <c r="J3" s="23" t="str">
        <f>IF(H3&gt;K3,"**",IF(H3&gt;I3,"*","NS"))</f>
        <v>NS</v>
      </c>
      <c r="K3" s="22">
        <f>FINV(0.01,E3,E$5)</f>
        <v>7.5976632412849163</v>
      </c>
      <c r="L3" s="13">
        <f>FDIST(H3,E3,E$5)</f>
        <v>9.0871979260878241E-2</v>
      </c>
    </row>
    <row r="4" spans="1:16">
      <c r="B4" s="16" t="s">
        <v>67</v>
      </c>
      <c r="C4" s="24">
        <f>I74</f>
        <v>33.331999999999994</v>
      </c>
      <c r="D4" s="20" t="s">
        <v>3</v>
      </c>
      <c r="E4" s="21">
        <f>C2-1</f>
        <v>29</v>
      </c>
      <c r="F4" s="21">
        <f>(SUMSQ(I13:I73)/C3)-C6</f>
        <v>4.3303589333333434</v>
      </c>
      <c r="G4" s="21">
        <f>F4/E4</f>
        <v>0.1493227218390808</v>
      </c>
      <c r="H4" s="21">
        <f>G4/G5</f>
        <v>29.007988481727864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9.7808979575055678E-15</v>
      </c>
    </row>
    <row r="5" spans="1:16">
      <c r="B5" s="16" t="s">
        <v>68</v>
      </c>
      <c r="C5" s="24">
        <f>I74/(C2*C3)</f>
        <v>0.55553333333333321</v>
      </c>
      <c r="D5" s="20" t="s">
        <v>69</v>
      </c>
      <c r="E5" s="21">
        <f>E4*E3</f>
        <v>29</v>
      </c>
      <c r="F5" s="21">
        <f>F6-F4-F3</f>
        <v>0.14928159999998059</v>
      </c>
      <c r="G5" s="22">
        <f>F5/E5</f>
        <v>5.1476413793096754E-3</v>
      </c>
      <c r="H5" s="21"/>
      <c r="I5" s="21"/>
      <c r="J5" s="23"/>
    </row>
    <row r="6" spans="1:16">
      <c r="B6" s="16" t="s">
        <v>70</v>
      </c>
      <c r="C6" s="24">
        <f>POWER(I74,2)/(C2*C3)</f>
        <v>18.51703706666666</v>
      </c>
      <c r="D6" s="18" t="s">
        <v>71</v>
      </c>
      <c r="E6" s="26">
        <f>C2*C3-1</f>
        <v>59</v>
      </c>
      <c r="F6" s="26">
        <f>SUMSQ(B13:H73)-C6</f>
        <v>4.4953869333333358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7.1747065301025911E-2</v>
      </c>
      <c r="G7" s="31"/>
      <c r="H7" s="31"/>
      <c r="I7" s="31"/>
    </row>
    <row r="8" spans="1:16">
      <c r="D8" s="60" t="s">
        <v>73</v>
      </c>
      <c r="E8" s="60"/>
      <c r="F8" s="32">
        <f>SQRT((G5)/C3)</f>
        <v>5.0732836404589463E-2</v>
      </c>
      <c r="I8" s="33"/>
    </row>
    <row r="9" spans="1:16">
      <c r="D9" s="60" t="s">
        <v>74</v>
      </c>
      <c r="E9" s="60"/>
      <c r="F9" s="32">
        <f>TINV(0.05,E5)*F8*SQRT(2)</f>
        <v>0.14673922246379681</v>
      </c>
      <c r="G9" s="13" t="s">
        <v>75</v>
      </c>
      <c r="H9" s="32">
        <f>TINV(0.01,E5)*F8*SQRT(2)</f>
        <v>0.19776259931265647</v>
      </c>
    </row>
    <row r="10" spans="1:16">
      <c r="D10" s="60" t="s">
        <v>76</v>
      </c>
      <c r="E10" s="60"/>
      <c r="F10" s="32">
        <f>SQRT(G5)/C5*100</f>
        <v>12.914988353718815</v>
      </c>
    </row>
    <row r="11" spans="1:16">
      <c r="D11" s="23"/>
      <c r="E11" s="34"/>
      <c r="O11" s="35" t="s">
        <v>68</v>
      </c>
      <c r="P11" s="36">
        <f>C5</f>
        <v>0.55553333333333321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7.1747065301025911E-2</v>
      </c>
    </row>
    <row r="13" spans="1:16" ht="15">
      <c r="A13" s="40">
        <v>1</v>
      </c>
      <c r="B13" s="52">
        <v>0.73</v>
      </c>
      <c r="C13" s="52">
        <v>0.71599999999999997</v>
      </c>
      <c r="D13" s="42"/>
      <c r="E13" s="43"/>
      <c r="F13" s="43"/>
      <c r="G13" s="43"/>
      <c r="H13" s="43"/>
      <c r="I13" s="44">
        <f t="shared" ref="I13:I28" si="0">SUM(B13:H13)</f>
        <v>1.446</v>
      </c>
      <c r="J13" s="45">
        <f t="shared" ref="J13:J73" si="1">AVERAGE(B13:H13)</f>
        <v>0.72299999999999998</v>
      </c>
      <c r="K13" s="26">
        <f t="shared" ref="K13:K73" si="2">STDEV(B13:D13)/SQRT(C$3)</f>
        <v>7.0000000000000053E-3</v>
      </c>
      <c r="O13" s="38" t="s">
        <v>82</v>
      </c>
      <c r="P13" s="39">
        <f>F7/C5*100</f>
        <v>12.914988353718815</v>
      </c>
    </row>
    <row r="14" spans="1:16" ht="15">
      <c r="A14" s="40">
        <v>2</v>
      </c>
      <c r="B14" s="52">
        <v>0.88600000000000001</v>
      </c>
      <c r="C14" s="52">
        <v>0.93</v>
      </c>
      <c r="D14" s="42"/>
      <c r="E14" s="43"/>
      <c r="F14" s="43"/>
      <c r="G14" s="43"/>
      <c r="H14" s="43"/>
      <c r="I14" s="44">
        <f t="shared" si="0"/>
        <v>1.8160000000000001</v>
      </c>
      <c r="J14" s="45">
        <f t="shared" si="1"/>
        <v>0.90800000000000003</v>
      </c>
      <c r="K14" s="26">
        <f t="shared" si="2"/>
        <v>2.1999999999998382E-2</v>
      </c>
      <c r="O14" s="38" t="s">
        <v>83</v>
      </c>
      <c r="P14" s="39">
        <f>F7/SQRT(C3)</f>
        <v>5.0732836404589463E-2</v>
      </c>
    </row>
    <row r="15" spans="1:16" ht="15">
      <c r="A15" s="40">
        <v>3</v>
      </c>
      <c r="B15" s="52">
        <v>1.1739999999999999</v>
      </c>
      <c r="C15" s="52">
        <v>1.216</v>
      </c>
      <c r="D15" s="42"/>
      <c r="E15" s="43"/>
      <c r="F15" s="43"/>
      <c r="G15" s="43"/>
      <c r="H15" s="43"/>
      <c r="I15" s="44">
        <f t="shared" si="0"/>
        <v>2.3899999999999997</v>
      </c>
      <c r="J15" s="45">
        <f t="shared" si="1"/>
        <v>1.1949999999999998</v>
      </c>
      <c r="K15" s="26">
        <f t="shared" si="2"/>
        <v>2.1000000000000019E-2</v>
      </c>
      <c r="O15" s="38" t="s">
        <v>84</v>
      </c>
      <c r="P15" s="39">
        <f>F8*SQRT(2)</f>
        <v>7.1747065301025911E-2</v>
      </c>
    </row>
    <row r="16" spans="1:16" ht="15">
      <c r="A16" s="40">
        <v>4</v>
      </c>
      <c r="B16" s="52">
        <v>0.35</v>
      </c>
      <c r="C16" s="52">
        <v>0.54</v>
      </c>
      <c r="D16" s="42"/>
      <c r="E16" s="43"/>
      <c r="F16" s="43"/>
      <c r="G16" s="43"/>
      <c r="H16" s="43"/>
      <c r="I16" s="44">
        <f t="shared" si="0"/>
        <v>0.89</v>
      </c>
      <c r="J16" s="45">
        <f t="shared" si="1"/>
        <v>0.44500000000000001</v>
      </c>
      <c r="K16" s="26">
        <f t="shared" si="2"/>
        <v>9.5000000000000029E-2</v>
      </c>
      <c r="O16" s="38" t="s">
        <v>85</v>
      </c>
      <c r="P16" s="39">
        <f>TINV(0.05,E5)*F8*SQRT(2)</f>
        <v>0.14673922246379681</v>
      </c>
    </row>
    <row r="17" spans="1:16" ht="15">
      <c r="A17" s="40">
        <v>5</v>
      </c>
      <c r="B17" s="52">
        <v>0.73799999999999999</v>
      </c>
      <c r="C17" s="52">
        <v>0.89</v>
      </c>
      <c r="D17" s="42"/>
      <c r="E17" s="43"/>
      <c r="F17" s="43"/>
      <c r="G17" s="43"/>
      <c r="H17" s="43"/>
      <c r="I17" s="44">
        <f t="shared" si="0"/>
        <v>1.6280000000000001</v>
      </c>
      <c r="J17" s="45">
        <f t="shared" si="1"/>
        <v>0.81400000000000006</v>
      </c>
      <c r="K17" s="26">
        <f t="shared" si="2"/>
        <v>7.599999999999929E-2</v>
      </c>
      <c r="O17" s="38" t="s">
        <v>86</v>
      </c>
      <c r="P17" s="39">
        <f>TINV(0.01,E5)*F8*SQRT(2)</f>
        <v>0.19776259931265647</v>
      </c>
    </row>
    <row r="18" spans="1:16" ht="15">
      <c r="A18" s="40">
        <v>6</v>
      </c>
      <c r="B18" s="52">
        <v>0.67800000000000005</v>
      </c>
      <c r="C18" s="52">
        <v>0.626</v>
      </c>
      <c r="D18" s="42"/>
      <c r="E18" s="43"/>
      <c r="F18" s="43"/>
      <c r="G18" s="43"/>
      <c r="H18" s="43"/>
      <c r="I18" s="44">
        <f t="shared" si="0"/>
        <v>1.304</v>
      </c>
      <c r="J18" s="45">
        <f t="shared" si="1"/>
        <v>0.65200000000000002</v>
      </c>
      <c r="K18" s="26">
        <f t="shared" si="2"/>
        <v>2.600000000000019E-2</v>
      </c>
      <c r="O18" s="38" t="s">
        <v>87</v>
      </c>
      <c r="P18" s="39">
        <f>(G4-G5)/C3</f>
        <v>7.2087540229885561E-2</v>
      </c>
    </row>
    <row r="19" spans="1:16" ht="15">
      <c r="A19" s="40">
        <v>7</v>
      </c>
      <c r="B19" s="52">
        <v>1.032</v>
      </c>
      <c r="C19" s="52">
        <v>1.1639999999999999</v>
      </c>
      <c r="D19" s="42"/>
      <c r="E19" s="43"/>
      <c r="F19" s="43"/>
      <c r="G19" s="43"/>
      <c r="H19" s="43"/>
      <c r="I19" s="44">
        <f t="shared" si="0"/>
        <v>2.1959999999999997</v>
      </c>
      <c r="J19" s="45">
        <f t="shared" si="1"/>
        <v>1.0979999999999999</v>
      </c>
      <c r="K19" s="26">
        <f t="shared" si="2"/>
        <v>6.6000000000001877E-2</v>
      </c>
      <c r="O19" s="38" t="s">
        <v>88</v>
      </c>
      <c r="P19" s="39">
        <f>P18+G5</f>
        <v>7.7235181609195236E-2</v>
      </c>
    </row>
    <row r="20" spans="1:16" ht="15">
      <c r="A20" s="40">
        <v>8</v>
      </c>
      <c r="B20" s="52">
        <v>0.72199999999999998</v>
      </c>
      <c r="C20" s="52">
        <v>0.90600000000000003</v>
      </c>
      <c r="D20" s="42"/>
      <c r="E20" s="43"/>
      <c r="F20" s="43"/>
      <c r="G20" s="43"/>
      <c r="H20" s="43"/>
      <c r="I20" s="44">
        <f t="shared" si="0"/>
        <v>1.6280000000000001</v>
      </c>
      <c r="J20" s="45">
        <f t="shared" si="1"/>
        <v>0.81400000000000006</v>
      </c>
      <c r="K20" s="26">
        <f t="shared" si="2"/>
        <v>9.1999999999999527E-2</v>
      </c>
      <c r="O20" s="38" t="s">
        <v>89</v>
      </c>
      <c r="P20" s="39">
        <f>SQRT(P18)</f>
        <v>0.26849122933512293</v>
      </c>
    </row>
    <row r="21" spans="1:16" ht="15">
      <c r="A21" s="40">
        <v>9</v>
      </c>
      <c r="B21" s="52">
        <v>0.184</v>
      </c>
      <c r="C21" s="52">
        <v>0.29399999999999998</v>
      </c>
      <c r="D21" s="42"/>
      <c r="E21" s="43"/>
      <c r="F21" s="43"/>
      <c r="G21" s="43"/>
      <c r="H21" s="43"/>
      <c r="I21" s="44">
        <f t="shared" si="0"/>
        <v>0.47799999999999998</v>
      </c>
      <c r="J21" s="45">
        <f t="shared" si="1"/>
        <v>0.23899999999999999</v>
      </c>
      <c r="K21" s="26">
        <f t="shared" si="2"/>
        <v>5.4999999999999931E-2</v>
      </c>
      <c r="O21" s="38" t="s">
        <v>90</v>
      </c>
      <c r="P21" s="39">
        <f>SQRT(P19)</f>
        <v>0.27791218326873551</v>
      </c>
    </row>
    <row r="22" spans="1:16" ht="15">
      <c r="A22" s="40">
        <v>10</v>
      </c>
      <c r="B22" s="52">
        <v>0.248</v>
      </c>
      <c r="C22" s="52">
        <v>0.36</v>
      </c>
      <c r="D22" s="42"/>
      <c r="E22" s="43"/>
      <c r="F22" s="43"/>
      <c r="G22" s="43"/>
      <c r="H22" s="43"/>
      <c r="I22" s="44">
        <f t="shared" si="0"/>
        <v>0.60799999999999998</v>
      </c>
      <c r="J22" s="45">
        <f t="shared" si="1"/>
        <v>0.30399999999999999</v>
      </c>
      <c r="K22" s="26">
        <f t="shared" si="2"/>
        <v>5.5999999999999994E-2</v>
      </c>
      <c r="O22" s="38" t="s">
        <v>91</v>
      </c>
      <c r="P22" s="39">
        <f>G5</f>
        <v>5.1476413793096754E-3</v>
      </c>
    </row>
    <row r="23" spans="1:16" ht="15">
      <c r="A23" s="40">
        <v>11</v>
      </c>
      <c r="B23" s="52">
        <v>0.23</v>
      </c>
      <c r="C23" s="52">
        <v>0.33200000000000002</v>
      </c>
      <c r="D23" s="42"/>
      <c r="E23" s="43"/>
      <c r="F23" s="43"/>
      <c r="G23" s="43"/>
      <c r="H23" s="43"/>
      <c r="I23" s="44">
        <f t="shared" si="0"/>
        <v>0.56200000000000006</v>
      </c>
      <c r="J23" s="45">
        <f t="shared" si="1"/>
        <v>0.28100000000000003</v>
      </c>
      <c r="K23" s="26">
        <f t="shared" si="2"/>
        <v>5.099999999999992E-2</v>
      </c>
      <c r="O23" s="38" t="s">
        <v>92</v>
      </c>
      <c r="P23" s="39">
        <f>SQRT(P22)</f>
        <v>7.1747065301025911E-2</v>
      </c>
    </row>
    <row r="24" spans="1:16" ht="15">
      <c r="A24" s="40">
        <v>12</v>
      </c>
      <c r="B24" s="52">
        <v>0.316</v>
      </c>
      <c r="C24" s="52">
        <v>0.26</v>
      </c>
      <c r="D24" s="42"/>
      <c r="E24" s="43"/>
      <c r="F24" s="43"/>
      <c r="G24" s="43"/>
      <c r="H24" s="43"/>
      <c r="I24" s="44">
        <f t="shared" si="0"/>
        <v>0.57600000000000007</v>
      </c>
      <c r="J24" s="45">
        <f t="shared" si="1"/>
        <v>0.28800000000000003</v>
      </c>
      <c r="K24" s="26">
        <f t="shared" si="2"/>
        <v>2.7999999999999622E-2</v>
      </c>
      <c r="O24" s="38" t="s">
        <v>93</v>
      </c>
      <c r="P24" s="39">
        <f>P20/C5*100</f>
        <v>48.330354494501918</v>
      </c>
    </row>
    <row r="25" spans="1:16" ht="15">
      <c r="A25" s="40">
        <v>13</v>
      </c>
      <c r="B25" s="52">
        <v>0.37</v>
      </c>
      <c r="C25" s="52">
        <v>0.52800000000000002</v>
      </c>
      <c r="D25" s="42"/>
      <c r="E25" s="43"/>
      <c r="F25" s="43"/>
      <c r="G25" s="43"/>
      <c r="H25" s="43"/>
      <c r="I25" s="44">
        <f t="shared" si="0"/>
        <v>0.89800000000000002</v>
      </c>
      <c r="J25" s="45">
        <f t="shared" si="1"/>
        <v>0.44900000000000001</v>
      </c>
      <c r="K25" s="26">
        <f t="shared" si="2"/>
        <v>7.900000000000014E-2</v>
      </c>
      <c r="O25" s="38" t="s">
        <v>94</v>
      </c>
      <c r="P25" s="39">
        <f>P21/C5*100</f>
        <v>50.026194036133852</v>
      </c>
    </row>
    <row r="26" spans="1:16" ht="15">
      <c r="A26" s="40">
        <v>14</v>
      </c>
      <c r="B26" s="52">
        <v>0.59</v>
      </c>
      <c r="C26" s="52">
        <v>0.73</v>
      </c>
      <c r="D26" s="42"/>
      <c r="E26" s="43"/>
      <c r="F26" s="43"/>
      <c r="G26" s="43"/>
      <c r="H26" s="43"/>
      <c r="I26" s="44">
        <f t="shared" si="0"/>
        <v>1.3199999999999998</v>
      </c>
      <c r="J26" s="45">
        <f t="shared" si="1"/>
        <v>0.65999999999999992</v>
      </c>
      <c r="K26" s="26">
        <f t="shared" si="2"/>
        <v>7.0000000000000506E-2</v>
      </c>
      <c r="O26" s="38" t="s">
        <v>95</v>
      </c>
      <c r="P26" s="39">
        <f>P23/C5*100</f>
        <v>12.914988353718815</v>
      </c>
    </row>
    <row r="27" spans="1:16" ht="15">
      <c r="A27" s="40">
        <v>15</v>
      </c>
      <c r="B27" s="52">
        <v>0.316</v>
      </c>
      <c r="C27" s="52">
        <v>0.24</v>
      </c>
      <c r="D27" s="42"/>
      <c r="E27" s="43"/>
      <c r="F27" s="43"/>
      <c r="G27" s="43"/>
      <c r="H27" s="43"/>
      <c r="I27" s="44">
        <f t="shared" si="0"/>
        <v>0.55600000000000005</v>
      </c>
      <c r="J27" s="45">
        <f t="shared" si="1"/>
        <v>0.27800000000000002</v>
      </c>
      <c r="K27" s="26">
        <f t="shared" si="2"/>
        <v>3.7999999999999645E-2</v>
      </c>
      <c r="O27" s="38" t="s">
        <v>96</v>
      </c>
      <c r="P27" s="39">
        <f>P18/P19*100</f>
        <v>93.335108078910991</v>
      </c>
    </row>
    <row r="28" spans="1:16" ht="15">
      <c r="A28" s="40">
        <v>16</v>
      </c>
      <c r="B28" s="52">
        <v>0.45800000000000002</v>
      </c>
      <c r="C28" s="52">
        <v>0.4</v>
      </c>
      <c r="D28" s="42"/>
      <c r="E28" s="43"/>
      <c r="F28" s="43"/>
      <c r="G28" s="43"/>
      <c r="H28" s="43"/>
      <c r="I28" s="44">
        <f t="shared" si="0"/>
        <v>0.8580000000000001</v>
      </c>
      <c r="J28" s="45">
        <f t="shared" si="1"/>
        <v>0.42900000000000005</v>
      </c>
      <c r="K28" s="26">
        <f t="shared" si="2"/>
        <v>2.8999999999999665E-2</v>
      </c>
      <c r="O28" s="38" t="s">
        <v>97</v>
      </c>
      <c r="P28" s="39">
        <f>P18/P21*2.06</f>
        <v>0.53434265143377113</v>
      </c>
    </row>
    <row r="29" spans="1:16" ht="15">
      <c r="A29" s="40">
        <v>17</v>
      </c>
      <c r="B29" s="52">
        <v>0.38</v>
      </c>
      <c r="C29" s="52">
        <v>0.308</v>
      </c>
      <c r="D29" s="42"/>
      <c r="E29" s="43"/>
      <c r="F29" s="43"/>
      <c r="G29" s="43"/>
      <c r="H29" s="43"/>
      <c r="I29" s="44">
        <f t="shared" ref="I29:I44" si="3">SUM(B29:H29)</f>
        <v>0.68799999999999994</v>
      </c>
      <c r="J29" s="45">
        <f t="shared" si="1"/>
        <v>0.34399999999999997</v>
      </c>
      <c r="K29" s="26">
        <f t="shared" si="2"/>
        <v>3.6000000000000268E-2</v>
      </c>
      <c r="O29" s="47" t="s">
        <v>98</v>
      </c>
      <c r="P29" s="48">
        <f>P28/C5*100</f>
        <v>96.185524679065992</v>
      </c>
    </row>
    <row r="30" spans="1:16" ht="15">
      <c r="A30" s="40">
        <v>18</v>
      </c>
      <c r="B30" s="52">
        <v>0.29399999999999998</v>
      </c>
      <c r="C30" s="52">
        <v>0.2</v>
      </c>
      <c r="D30" s="42"/>
      <c r="E30" s="43"/>
      <c r="F30" s="43"/>
      <c r="G30" s="43"/>
      <c r="H30" s="43"/>
      <c r="I30" s="44">
        <f t="shared" si="3"/>
        <v>0.49399999999999999</v>
      </c>
      <c r="J30" s="45">
        <f t="shared" si="1"/>
        <v>0.247</v>
      </c>
      <c r="K30" s="26">
        <f t="shared" si="2"/>
        <v>4.6999999999999945E-2</v>
      </c>
    </row>
    <row r="31" spans="1:16" ht="15">
      <c r="A31" s="40">
        <v>19</v>
      </c>
      <c r="B31" s="52">
        <v>0.49</v>
      </c>
      <c r="C31" s="52">
        <v>0.42199999999999999</v>
      </c>
      <c r="D31" s="42"/>
      <c r="E31" s="43"/>
      <c r="F31" s="43"/>
      <c r="G31" s="43"/>
      <c r="H31" s="43"/>
      <c r="I31" s="44">
        <f t="shared" si="3"/>
        <v>0.91199999999999992</v>
      </c>
      <c r="J31" s="45">
        <f t="shared" si="1"/>
        <v>0.45599999999999996</v>
      </c>
      <c r="K31" s="26">
        <f t="shared" si="2"/>
        <v>3.4000000000000676E-2</v>
      </c>
    </row>
    <row r="32" spans="1:16" ht="15">
      <c r="A32" s="40">
        <v>20</v>
      </c>
      <c r="B32" s="52">
        <v>0.746</v>
      </c>
      <c r="C32" s="52">
        <v>0.73</v>
      </c>
      <c r="D32" s="42"/>
      <c r="E32" s="43"/>
      <c r="F32" s="43"/>
      <c r="G32" s="43"/>
      <c r="H32" s="43"/>
      <c r="I32" s="44">
        <f t="shared" si="3"/>
        <v>1.476</v>
      </c>
      <c r="J32" s="45">
        <f t="shared" si="1"/>
        <v>0.73799999999999999</v>
      </c>
      <c r="K32" s="26">
        <f t="shared" si="2"/>
        <v>8.0000000000000071E-3</v>
      </c>
    </row>
    <row r="33" spans="1:11" ht="15">
      <c r="A33" s="40">
        <v>21</v>
      </c>
      <c r="B33" s="52">
        <v>0.33</v>
      </c>
      <c r="C33" s="52">
        <v>0.48199999999999998</v>
      </c>
      <c r="D33" s="42"/>
      <c r="E33" s="43"/>
      <c r="F33" s="43"/>
      <c r="G33" s="43"/>
      <c r="H33" s="43"/>
      <c r="I33" s="44">
        <f t="shared" si="3"/>
        <v>0.81200000000000006</v>
      </c>
      <c r="J33" s="45">
        <f t="shared" si="1"/>
        <v>0.40600000000000003</v>
      </c>
      <c r="K33" s="26">
        <f t="shared" si="2"/>
        <v>7.5999999999999832E-2</v>
      </c>
    </row>
    <row r="34" spans="1:11" ht="15">
      <c r="A34" s="40">
        <v>22</v>
      </c>
      <c r="B34" s="52">
        <v>0.89200000000000002</v>
      </c>
      <c r="C34" s="52">
        <v>0.91400000000000003</v>
      </c>
      <c r="D34" s="42"/>
      <c r="E34" s="43"/>
      <c r="F34" s="43"/>
      <c r="G34" s="43"/>
      <c r="H34" s="43"/>
      <c r="I34" s="44">
        <f t="shared" si="3"/>
        <v>1.806</v>
      </c>
      <c r="J34" s="45">
        <f t="shared" si="1"/>
        <v>0.90300000000000002</v>
      </c>
      <c r="K34" s="26">
        <f t="shared" si="2"/>
        <v>1.100000000000001E-2</v>
      </c>
    </row>
    <row r="35" spans="1:11" ht="15">
      <c r="A35" s="40">
        <v>23</v>
      </c>
      <c r="B35" s="52">
        <v>0.79</v>
      </c>
      <c r="C35" s="52">
        <v>0.84799999999999998</v>
      </c>
      <c r="D35" s="42"/>
      <c r="E35" s="43"/>
      <c r="F35" s="43"/>
      <c r="G35" s="43"/>
      <c r="H35" s="43"/>
      <c r="I35" s="44">
        <f t="shared" si="3"/>
        <v>1.6379999999999999</v>
      </c>
      <c r="J35" s="45">
        <f t="shared" si="1"/>
        <v>0.81899999999999995</v>
      </c>
      <c r="K35" s="26">
        <f t="shared" si="2"/>
        <v>2.9000000000001577E-2</v>
      </c>
    </row>
    <row r="36" spans="1:11" ht="15">
      <c r="A36" s="40">
        <v>24</v>
      </c>
      <c r="B36" s="52">
        <v>0.34</v>
      </c>
      <c r="C36" s="52">
        <v>0.33800000000000002</v>
      </c>
      <c r="D36" s="42"/>
      <c r="E36" s="43"/>
      <c r="F36" s="43"/>
      <c r="G36" s="43"/>
      <c r="H36" s="43"/>
      <c r="I36" s="44">
        <f t="shared" si="3"/>
        <v>0.67800000000000005</v>
      </c>
      <c r="J36" s="45">
        <f t="shared" si="1"/>
        <v>0.33900000000000002</v>
      </c>
      <c r="K36" s="26">
        <f t="shared" si="2"/>
        <v>1.0000000000000009E-3</v>
      </c>
    </row>
    <row r="37" spans="1:11" ht="15">
      <c r="A37" s="40">
        <v>25</v>
      </c>
      <c r="B37" s="52">
        <v>0.376</v>
      </c>
      <c r="C37" s="52">
        <v>0.24</v>
      </c>
      <c r="D37" s="49"/>
      <c r="E37" s="43"/>
      <c r="F37" s="43"/>
      <c r="G37" s="43"/>
      <c r="H37" s="43"/>
      <c r="I37" s="44">
        <f t="shared" si="3"/>
        <v>0.61599999999999999</v>
      </c>
      <c r="J37" s="45">
        <f t="shared" si="1"/>
        <v>0.308</v>
      </c>
      <c r="K37" s="26">
        <f t="shared" si="2"/>
        <v>6.7999999999999908E-2</v>
      </c>
    </row>
    <row r="38" spans="1:11" ht="15">
      <c r="A38" s="40">
        <v>26</v>
      </c>
      <c r="B38" s="52">
        <v>0.94399999999999995</v>
      </c>
      <c r="C38" s="52">
        <v>0.88400000000000001</v>
      </c>
      <c r="D38" s="49"/>
      <c r="E38" s="43"/>
      <c r="F38" s="43"/>
      <c r="G38" s="43"/>
      <c r="H38" s="43"/>
      <c r="I38" s="44">
        <f t="shared" si="3"/>
        <v>1.8279999999999998</v>
      </c>
      <c r="J38" s="45">
        <f t="shared" si="1"/>
        <v>0.91399999999999992</v>
      </c>
      <c r="K38" s="26">
        <f t="shared" si="2"/>
        <v>3.0000000000002046E-2</v>
      </c>
    </row>
    <row r="39" spans="1:11" ht="15">
      <c r="A39" s="40">
        <v>27</v>
      </c>
      <c r="B39" s="52">
        <v>0.46</v>
      </c>
      <c r="C39" s="52">
        <v>0.29799999999999999</v>
      </c>
      <c r="D39" s="49"/>
      <c r="E39" s="43"/>
      <c r="F39" s="43"/>
      <c r="G39" s="43"/>
      <c r="H39" s="43"/>
      <c r="I39" s="44">
        <f t="shared" si="3"/>
        <v>0.75800000000000001</v>
      </c>
      <c r="J39" s="45">
        <f t="shared" si="1"/>
        <v>0.379</v>
      </c>
      <c r="K39" s="26">
        <f t="shared" si="2"/>
        <v>8.1000000000000058E-2</v>
      </c>
    </row>
    <row r="40" spans="1:11" ht="15">
      <c r="A40" s="40">
        <v>28</v>
      </c>
      <c r="B40" s="52">
        <v>0.36199999999999999</v>
      </c>
      <c r="C40" s="52">
        <v>0.51200000000000001</v>
      </c>
      <c r="D40" s="49"/>
      <c r="E40" s="43"/>
      <c r="F40" s="43"/>
      <c r="G40" s="43"/>
      <c r="H40" s="43"/>
      <c r="I40" s="44">
        <f t="shared" si="3"/>
        <v>0.874</v>
      </c>
      <c r="J40" s="45">
        <f t="shared" si="1"/>
        <v>0.437</v>
      </c>
      <c r="K40" s="26">
        <f t="shared" si="2"/>
        <v>7.4999999999999942E-2</v>
      </c>
    </row>
    <row r="41" spans="1:11" ht="15">
      <c r="A41" s="40">
        <v>29</v>
      </c>
      <c r="B41" s="52">
        <v>0.33400000000000002</v>
      </c>
      <c r="C41" s="52">
        <v>0.39200000000000002</v>
      </c>
      <c r="D41" s="49"/>
      <c r="E41" s="43"/>
      <c r="F41" s="43"/>
      <c r="G41" s="43"/>
      <c r="H41" s="43"/>
      <c r="I41" s="44">
        <f t="shared" si="3"/>
        <v>0.72599999999999998</v>
      </c>
      <c r="J41" s="45">
        <f t="shared" si="1"/>
        <v>0.36299999999999999</v>
      </c>
      <c r="K41" s="26">
        <f t="shared" si="2"/>
        <v>2.900000000000014E-2</v>
      </c>
    </row>
    <row r="42" spans="1:11" ht="15">
      <c r="A42" s="40">
        <v>30</v>
      </c>
      <c r="B42" s="52">
        <v>0.42</v>
      </c>
      <c r="C42" s="52">
        <v>0.45200000000000001</v>
      </c>
      <c r="D42" s="49"/>
      <c r="E42" s="43"/>
      <c r="F42" s="43"/>
      <c r="G42" s="43"/>
      <c r="H42" s="43"/>
      <c r="I42" s="44">
        <f t="shared" si="3"/>
        <v>0.872</v>
      </c>
      <c r="J42" s="45">
        <f t="shared" si="1"/>
        <v>0.436</v>
      </c>
      <c r="K42" s="26">
        <f t="shared" si="2"/>
        <v>1.6000000000000191E-2</v>
      </c>
    </row>
    <row r="43" spans="1:11" ht="15">
      <c r="A43" s="40">
        <v>31</v>
      </c>
      <c r="B43" s="41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 s="41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 s="46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 s="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 s="46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 s="46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 s="46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 s="46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 s="46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 s="46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 s="46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 s="46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 s="46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 s="4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 s="46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 s="46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 s="46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 s="46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 s="49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 s="49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 s="49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 s="49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 s="49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 s="49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 s="49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 s="49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 s="4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 s="49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 s="49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 s="49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16.180000000000003</v>
      </c>
      <c r="C74" s="51">
        <f>SUM(C13:C73)</f>
        <v>17.152000000000001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33.331999999999994</v>
      </c>
      <c r="J74" s="32"/>
    </row>
    <row r="75" spans="1:11">
      <c r="B75" s="25">
        <f>AVERAGE(B13:B28)</f>
        <v>0.56387500000000013</v>
      </c>
      <c r="C75" s="25">
        <f>AVERAGE(C13:C28)</f>
        <v>0.63325000000000009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4"/>
  <sheetViews>
    <sheetView topLeftCell="B35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22.325999999971827</v>
      </c>
      <c r="G3" s="21">
        <f>F3/E3</f>
        <v>22.325999999971827</v>
      </c>
      <c r="H3" s="21">
        <f>G3/G5</f>
        <v>1.3125114029344611</v>
      </c>
      <c r="I3" s="22">
        <f>FINV(0.05,E3,E$5)</f>
        <v>4.1829641621552192</v>
      </c>
      <c r="J3" s="23" t="str">
        <f>IF(H3&gt;K3,"**",IF(H3&gt;I3,"*","NS"))</f>
        <v>NS</v>
      </c>
      <c r="K3" s="22">
        <f>FINV(0.01,E3,E$5)</f>
        <v>7.5976632412849163</v>
      </c>
      <c r="L3" s="13">
        <f>FDIST(H3,E3,E$5)</f>
        <v>0.26130687583537771</v>
      </c>
    </row>
    <row r="4" spans="1:16">
      <c r="B4" s="16" t="s">
        <v>67</v>
      </c>
      <c r="C4" s="24">
        <f>I74</f>
        <v>3019.8</v>
      </c>
      <c r="D4" s="20" t="s">
        <v>3</v>
      </c>
      <c r="E4" s="21">
        <f>C2-1</f>
        <v>29</v>
      </c>
      <c r="F4" s="21">
        <f>(SUMSQ(I13:I73)/C3)-C6</f>
        <v>24980.526000000013</v>
      </c>
      <c r="G4" s="21">
        <f>F4/E4</f>
        <v>861.39744827586253</v>
      </c>
      <c r="H4" s="21">
        <f>G4/G5</f>
        <v>50.640238883908623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4.4707130579394063E-18</v>
      </c>
    </row>
    <row r="5" spans="1:16">
      <c r="B5" s="16" t="s">
        <v>68</v>
      </c>
      <c r="C5" s="24">
        <f>I74/(C2*C3)</f>
        <v>50.330000000000005</v>
      </c>
      <c r="D5" s="20" t="s">
        <v>69</v>
      </c>
      <c r="E5" s="21">
        <f>E4*E3</f>
        <v>29</v>
      </c>
      <c r="F5" s="21">
        <f>F6-F4-F3</f>
        <v>493.29400000002352</v>
      </c>
      <c r="G5" s="22">
        <f>F5/E5</f>
        <v>17.010137931035295</v>
      </c>
      <c r="H5" s="21"/>
      <c r="I5" s="21"/>
      <c r="J5" s="23"/>
    </row>
    <row r="6" spans="1:16">
      <c r="B6" s="16" t="s">
        <v>70</v>
      </c>
      <c r="C6" s="24">
        <f>POWER(I74,2)/(C2*C3)</f>
        <v>151986.53400000001</v>
      </c>
      <c r="D6" s="18" t="s">
        <v>71</v>
      </c>
      <c r="E6" s="26">
        <f>C2*C3-1</f>
        <v>59</v>
      </c>
      <c r="F6" s="26">
        <f>SUMSQ(B13:H73)-C6</f>
        <v>25496.146000000008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4.124334847103869</v>
      </c>
      <c r="G7" s="31"/>
      <c r="H7" s="31"/>
      <c r="I7" s="31"/>
    </row>
    <row r="8" spans="1:16">
      <c r="D8" s="60" t="s">
        <v>73</v>
      </c>
      <c r="E8" s="60"/>
      <c r="F8" s="32">
        <f>SQRT((G5)/C3)</f>
        <v>2.9163451382711285</v>
      </c>
      <c r="I8" s="33"/>
    </row>
    <row r="9" spans="1:16">
      <c r="D9" s="60" t="s">
        <v>74</v>
      </c>
      <c r="E9" s="60"/>
      <c r="F9" s="32">
        <f>TINV(0.05,E5)*F8*SQRT(2)</f>
        <v>8.4352117554236781</v>
      </c>
      <c r="G9" s="13" t="s">
        <v>75</v>
      </c>
      <c r="H9" s="32">
        <f>TINV(0.01,E5)*F8*SQRT(2)</f>
        <v>11.368258428088851</v>
      </c>
    </row>
    <row r="10" spans="1:16">
      <c r="D10" s="60" t="s">
        <v>76</v>
      </c>
      <c r="E10" s="60"/>
      <c r="F10" s="32">
        <f>SQRT(G5)/C5*100</f>
        <v>8.1945854303673134</v>
      </c>
    </row>
    <row r="11" spans="1:16">
      <c r="D11" s="23"/>
      <c r="E11" s="34"/>
      <c r="O11" s="35" t="s">
        <v>68</v>
      </c>
      <c r="P11" s="36">
        <f>C5</f>
        <v>50.330000000000005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4.124334847103869</v>
      </c>
    </row>
    <row r="13" spans="1:16" ht="15">
      <c r="A13" s="40">
        <v>1</v>
      </c>
      <c r="B13">
        <v>64</v>
      </c>
      <c r="C13">
        <v>59.2</v>
      </c>
      <c r="D13" s="42"/>
      <c r="E13" s="43"/>
      <c r="F13" s="43"/>
      <c r="G13" s="43"/>
      <c r="H13" s="43"/>
      <c r="I13" s="44">
        <f t="shared" ref="I13:I28" si="0">SUM(B13:H13)</f>
        <v>123.2</v>
      </c>
      <c r="J13" s="45">
        <f t="shared" ref="J13:J73" si="1">AVERAGE(B13:H13)</f>
        <v>61.6</v>
      </c>
      <c r="K13" s="26">
        <f t="shared" ref="K13:K73" si="2">STDEV(B13:D13)/SQRT(C$3)</f>
        <v>2.3999999999999506</v>
      </c>
      <c r="O13" s="38" t="s">
        <v>82</v>
      </c>
      <c r="P13" s="39">
        <f>F7/C5*100</f>
        <v>8.1945854303673134</v>
      </c>
    </row>
    <row r="14" spans="1:16" ht="15">
      <c r="A14" s="40">
        <v>2</v>
      </c>
      <c r="B14">
        <v>50.8</v>
      </c>
      <c r="C14">
        <v>43.6</v>
      </c>
      <c r="D14" s="42"/>
      <c r="E14" s="43"/>
      <c r="F14" s="43"/>
      <c r="G14" s="43"/>
      <c r="H14" s="43"/>
      <c r="I14" s="44">
        <f t="shared" si="0"/>
        <v>94.4</v>
      </c>
      <c r="J14" s="45">
        <f t="shared" si="1"/>
        <v>47.2</v>
      </c>
      <c r="K14" s="26">
        <f t="shared" si="2"/>
        <v>3.6000000000000045</v>
      </c>
      <c r="O14" s="38" t="s">
        <v>83</v>
      </c>
      <c r="P14" s="39">
        <f>F7/SQRT(C3)</f>
        <v>2.9163451382711281</v>
      </c>
    </row>
    <row r="15" spans="1:16" ht="15">
      <c r="A15" s="40">
        <v>3</v>
      </c>
      <c r="B15">
        <v>86.4</v>
      </c>
      <c r="C15">
        <v>91.6</v>
      </c>
      <c r="D15" s="42"/>
      <c r="E15" s="43"/>
      <c r="F15" s="43"/>
      <c r="G15" s="43"/>
      <c r="H15" s="43"/>
      <c r="I15" s="44">
        <f t="shared" si="0"/>
        <v>178</v>
      </c>
      <c r="J15" s="45">
        <f t="shared" si="1"/>
        <v>89</v>
      </c>
      <c r="K15" s="26">
        <f t="shared" si="2"/>
        <v>2.6000000000000418</v>
      </c>
      <c r="O15" s="38" t="s">
        <v>84</v>
      </c>
      <c r="P15" s="39">
        <f>F8*SQRT(2)</f>
        <v>4.124334847103869</v>
      </c>
    </row>
    <row r="16" spans="1:16" ht="15">
      <c r="A16" s="40">
        <v>4</v>
      </c>
      <c r="B16">
        <v>87.6</v>
      </c>
      <c r="C16">
        <v>76.8</v>
      </c>
      <c r="D16" s="42"/>
      <c r="E16" s="43"/>
      <c r="F16" s="43"/>
      <c r="G16" s="43"/>
      <c r="H16" s="43"/>
      <c r="I16" s="44">
        <f t="shared" si="0"/>
        <v>164.39999999999998</v>
      </c>
      <c r="J16" s="45">
        <f t="shared" si="1"/>
        <v>82.199999999999989</v>
      </c>
      <c r="K16" s="26">
        <f t="shared" si="2"/>
        <v>5.4000000000001549</v>
      </c>
      <c r="O16" s="38" t="s">
        <v>85</v>
      </c>
      <c r="P16" s="39">
        <f>TINV(0.05,E5)*F8*SQRT(2)</f>
        <v>8.4352117554236781</v>
      </c>
    </row>
    <row r="17" spans="1:16" ht="15">
      <c r="A17" s="40">
        <v>5</v>
      </c>
      <c r="B17">
        <v>30.4</v>
      </c>
      <c r="C17">
        <v>38.799999999999997</v>
      </c>
      <c r="D17" s="42"/>
      <c r="E17" s="43"/>
      <c r="F17" s="43"/>
      <c r="G17" s="43"/>
      <c r="H17" s="43"/>
      <c r="I17" s="44">
        <f t="shared" si="0"/>
        <v>69.199999999999989</v>
      </c>
      <c r="J17" s="45">
        <f t="shared" si="1"/>
        <v>34.599999999999994</v>
      </c>
      <c r="K17" s="26">
        <f t="shared" si="2"/>
        <v>4.2000000000000384</v>
      </c>
      <c r="O17" s="38" t="s">
        <v>86</v>
      </c>
      <c r="P17" s="39">
        <f>TINV(0.01,E5)*F8*SQRT(2)</f>
        <v>11.368258428088851</v>
      </c>
    </row>
    <row r="18" spans="1:16" ht="15">
      <c r="A18" s="40">
        <v>6</v>
      </c>
      <c r="B18">
        <v>100</v>
      </c>
      <c r="C18">
        <v>95</v>
      </c>
      <c r="D18" s="42"/>
      <c r="E18" s="43"/>
      <c r="F18" s="43"/>
      <c r="G18" s="43"/>
      <c r="H18" s="43"/>
      <c r="I18" s="44">
        <f t="shared" si="0"/>
        <v>195</v>
      </c>
      <c r="J18" s="45">
        <f t="shared" si="1"/>
        <v>97.5</v>
      </c>
      <c r="K18" s="26">
        <f t="shared" si="2"/>
        <v>2.5</v>
      </c>
      <c r="O18" s="38" t="s">
        <v>87</v>
      </c>
      <c r="P18" s="39">
        <f>(G4-G5)/C3</f>
        <v>422.19365517241363</v>
      </c>
    </row>
    <row r="19" spans="1:16" ht="15">
      <c r="A19" s="40">
        <v>7</v>
      </c>
      <c r="B19">
        <v>95</v>
      </c>
      <c r="C19">
        <v>85</v>
      </c>
      <c r="D19" s="42"/>
      <c r="E19" s="43"/>
      <c r="F19" s="43"/>
      <c r="G19" s="43"/>
      <c r="H19" s="43"/>
      <c r="I19" s="44">
        <f t="shared" si="0"/>
        <v>180</v>
      </c>
      <c r="J19" s="45">
        <f t="shared" si="1"/>
        <v>90</v>
      </c>
      <c r="K19" s="26">
        <f t="shared" si="2"/>
        <v>5</v>
      </c>
      <c r="O19" s="38" t="s">
        <v>88</v>
      </c>
      <c r="P19" s="39">
        <f>P18+G5</f>
        <v>439.2037931034489</v>
      </c>
    </row>
    <row r="20" spans="1:16" ht="15">
      <c r="A20" s="40">
        <v>8</v>
      </c>
      <c r="B20">
        <v>55.2</v>
      </c>
      <c r="C20">
        <v>44.4</v>
      </c>
      <c r="D20" s="42"/>
      <c r="E20" s="43"/>
      <c r="F20" s="43"/>
      <c r="G20" s="43"/>
      <c r="H20" s="43"/>
      <c r="I20" s="44">
        <f t="shared" si="0"/>
        <v>99.6</v>
      </c>
      <c r="J20" s="45">
        <f t="shared" si="1"/>
        <v>49.8</v>
      </c>
      <c r="K20" s="26">
        <f t="shared" si="2"/>
        <v>5.4000000000000705</v>
      </c>
      <c r="O20" s="38" t="s">
        <v>89</v>
      </c>
      <c r="P20" s="39">
        <f>SQRT(P18)</f>
        <v>20.547351536692354</v>
      </c>
    </row>
    <row r="21" spans="1:16" ht="15">
      <c r="A21" s="40">
        <v>9</v>
      </c>
      <c r="B21">
        <v>45.6</v>
      </c>
      <c r="C21">
        <v>42.8</v>
      </c>
      <c r="D21" s="42"/>
      <c r="E21" s="43"/>
      <c r="F21" s="43"/>
      <c r="G21" s="43"/>
      <c r="H21" s="43"/>
      <c r="I21" s="44">
        <f t="shared" si="0"/>
        <v>88.4</v>
      </c>
      <c r="J21" s="45">
        <f t="shared" si="1"/>
        <v>44.2</v>
      </c>
      <c r="K21" s="26">
        <f t="shared" si="2"/>
        <v>1.3999999999998505</v>
      </c>
      <c r="O21" s="38" t="s">
        <v>90</v>
      </c>
      <c r="P21" s="39">
        <f>SQRT(P19)</f>
        <v>20.957189532555383</v>
      </c>
    </row>
    <row r="22" spans="1:16" ht="15">
      <c r="A22" s="40">
        <v>10</v>
      </c>
      <c r="B22">
        <v>84</v>
      </c>
      <c r="C22">
        <v>80.400000000000006</v>
      </c>
      <c r="D22" s="42"/>
      <c r="E22" s="43"/>
      <c r="F22" s="43"/>
      <c r="G22" s="43"/>
      <c r="H22" s="43"/>
      <c r="I22" s="44">
        <f t="shared" si="0"/>
        <v>164.4</v>
      </c>
      <c r="J22" s="45">
        <f t="shared" si="1"/>
        <v>82.2</v>
      </c>
      <c r="K22" s="26">
        <f t="shared" si="2"/>
        <v>1.7999999999999392</v>
      </c>
      <c r="O22" s="38" t="s">
        <v>91</v>
      </c>
      <c r="P22" s="39">
        <f>G5</f>
        <v>17.010137931035295</v>
      </c>
    </row>
    <row r="23" spans="1:16" ht="15">
      <c r="A23" s="40">
        <v>11</v>
      </c>
      <c r="B23">
        <v>38.799999999999997</v>
      </c>
      <c r="C23">
        <v>41.6</v>
      </c>
      <c r="D23" s="42"/>
      <c r="E23" s="43"/>
      <c r="F23" s="43"/>
      <c r="G23" s="43"/>
      <c r="H23" s="43"/>
      <c r="I23" s="44">
        <f t="shared" si="0"/>
        <v>80.400000000000006</v>
      </c>
      <c r="J23" s="45">
        <f t="shared" si="1"/>
        <v>40.200000000000003</v>
      </c>
      <c r="K23" s="26">
        <f t="shared" si="2"/>
        <v>1.3999999999999317</v>
      </c>
      <c r="O23" s="38" t="s">
        <v>92</v>
      </c>
      <c r="P23" s="39">
        <f>SQRT(P22)</f>
        <v>4.124334847103869</v>
      </c>
    </row>
    <row r="24" spans="1:16" ht="15">
      <c r="A24" s="40">
        <v>12</v>
      </c>
      <c r="B24">
        <v>50.8</v>
      </c>
      <c r="C24">
        <v>48.4</v>
      </c>
      <c r="D24" s="42"/>
      <c r="E24" s="43"/>
      <c r="F24" s="43"/>
      <c r="G24" s="43"/>
      <c r="H24" s="43"/>
      <c r="I24" s="44">
        <f t="shared" si="0"/>
        <v>99.199999999999989</v>
      </c>
      <c r="J24" s="45">
        <f t="shared" si="1"/>
        <v>49.599999999999994</v>
      </c>
      <c r="K24" s="26">
        <f t="shared" si="2"/>
        <v>1.2000000000002122</v>
      </c>
      <c r="O24" s="38" t="s">
        <v>93</v>
      </c>
      <c r="P24" s="39">
        <f>P20/C5*100</f>
        <v>40.825256381268332</v>
      </c>
    </row>
    <row r="25" spans="1:16" ht="15">
      <c r="A25" s="40">
        <v>13</v>
      </c>
      <c r="B25">
        <v>47.2</v>
      </c>
      <c r="C25">
        <v>48</v>
      </c>
      <c r="D25" s="42"/>
      <c r="E25" s="43"/>
      <c r="F25" s="43"/>
      <c r="G25" s="43"/>
      <c r="H25" s="43"/>
      <c r="I25" s="44">
        <f t="shared" si="0"/>
        <v>95.2</v>
      </c>
      <c r="J25" s="45">
        <f t="shared" si="1"/>
        <v>47.6</v>
      </c>
      <c r="K25" s="26">
        <f t="shared" si="2"/>
        <v>0.39999999999981806</v>
      </c>
      <c r="O25" s="38" t="s">
        <v>94</v>
      </c>
      <c r="P25" s="39">
        <f>P21/C5*100</f>
        <v>41.639557982426744</v>
      </c>
    </row>
    <row r="26" spans="1:16" ht="15">
      <c r="A26" s="40">
        <v>14</v>
      </c>
      <c r="B26">
        <v>34.4</v>
      </c>
      <c r="C26">
        <v>38.4</v>
      </c>
      <c r="D26" s="42"/>
      <c r="E26" s="43"/>
      <c r="F26" s="43"/>
      <c r="G26" s="43"/>
      <c r="H26" s="43"/>
      <c r="I26" s="44">
        <f t="shared" si="0"/>
        <v>72.8</v>
      </c>
      <c r="J26" s="45">
        <f t="shared" si="1"/>
        <v>36.4</v>
      </c>
      <c r="K26" s="26">
        <f t="shared" si="2"/>
        <v>2.0000000000000568</v>
      </c>
      <c r="O26" s="38" t="s">
        <v>95</v>
      </c>
      <c r="P26" s="39">
        <f>P23/C5*100</f>
        <v>8.1945854303673134</v>
      </c>
    </row>
    <row r="27" spans="1:16" ht="15">
      <c r="A27" s="40">
        <v>15</v>
      </c>
      <c r="B27">
        <v>24.8</v>
      </c>
      <c r="C27">
        <v>29.2</v>
      </c>
      <c r="D27" s="42"/>
      <c r="E27" s="43"/>
      <c r="F27" s="43"/>
      <c r="G27" s="43"/>
      <c r="H27" s="43"/>
      <c r="I27" s="44">
        <f t="shared" si="0"/>
        <v>54</v>
      </c>
      <c r="J27" s="45">
        <f t="shared" si="1"/>
        <v>27</v>
      </c>
      <c r="K27" s="26">
        <f t="shared" si="2"/>
        <v>2.2000000000000073</v>
      </c>
      <c r="O27" s="38" t="s">
        <v>96</v>
      </c>
      <c r="P27" s="39">
        <f>P18/P19*100</f>
        <v>96.127051223569751</v>
      </c>
    </row>
    <row r="28" spans="1:16" ht="15">
      <c r="A28" s="40">
        <v>16</v>
      </c>
      <c r="B28">
        <v>49.6</v>
      </c>
      <c r="C28">
        <v>50</v>
      </c>
      <c r="D28" s="42"/>
      <c r="E28" s="43"/>
      <c r="F28" s="43"/>
      <c r="G28" s="43"/>
      <c r="H28" s="43"/>
      <c r="I28" s="44">
        <f t="shared" si="0"/>
        <v>99.6</v>
      </c>
      <c r="J28" s="45">
        <f t="shared" si="1"/>
        <v>49.8</v>
      </c>
      <c r="K28" s="26">
        <f t="shared" si="2"/>
        <v>0.2000000000010459</v>
      </c>
      <c r="O28" s="38" t="s">
        <v>97</v>
      </c>
      <c r="P28" s="39">
        <f>P18/P21*2.06</f>
        <v>41.49978833297903</v>
      </c>
    </row>
    <row r="29" spans="1:16" ht="15">
      <c r="A29" s="40">
        <v>17</v>
      </c>
      <c r="B29">
        <v>37.200000000000003</v>
      </c>
      <c r="C29">
        <v>33.6</v>
      </c>
      <c r="D29" s="42"/>
      <c r="E29" s="43"/>
      <c r="F29" s="43"/>
      <c r="G29" s="43"/>
      <c r="H29" s="43"/>
      <c r="I29" s="44">
        <f t="shared" ref="I29:I44" si="3">SUM(B29:H29)</f>
        <v>70.800000000000011</v>
      </c>
      <c r="J29" s="45">
        <f t="shared" si="1"/>
        <v>35.400000000000006</v>
      </c>
      <c r="K29" s="45">
        <f t="shared" si="2"/>
        <v>1.7999999999999392</v>
      </c>
      <c r="O29" s="47" t="s">
        <v>98</v>
      </c>
      <c r="P29" s="48">
        <f>P28/C5*100</f>
        <v>82.4553712159329</v>
      </c>
    </row>
    <row r="30" spans="1:16" ht="15">
      <c r="A30" s="40">
        <v>18</v>
      </c>
      <c r="B30">
        <v>50</v>
      </c>
      <c r="C30">
        <v>47.2</v>
      </c>
      <c r="D30" s="42"/>
      <c r="E30" s="43"/>
      <c r="F30" s="43"/>
      <c r="G30" s="43"/>
      <c r="H30" s="43"/>
      <c r="I30" s="44">
        <f t="shared" si="3"/>
        <v>97.2</v>
      </c>
      <c r="J30" s="45">
        <f t="shared" si="1"/>
        <v>48.6</v>
      </c>
      <c r="K30" s="45">
        <f t="shared" si="2"/>
        <v>1.4000000000000128</v>
      </c>
    </row>
    <row r="31" spans="1:16" ht="15">
      <c r="A31" s="40">
        <v>19</v>
      </c>
      <c r="B31">
        <v>32</v>
      </c>
      <c r="C31">
        <v>36.799999999999997</v>
      </c>
      <c r="D31" s="42"/>
      <c r="E31" s="43"/>
      <c r="F31" s="43"/>
      <c r="G31" s="43"/>
      <c r="H31" s="43"/>
      <c r="I31" s="44">
        <f t="shared" si="3"/>
        <v>68.8</v>
      </c>
      <c r="J31" s="45">
        <f t="shared" si="1"/>
        <v>34.4</v>
      </c>
      <c r="K31" s="45">
        <f t="shared" si="2"/>
        <v>2.3999999999999981</v>
      </c>
    </row>
    <row r="32" spans="1:16" ht="15">
      <c r="A32" s="40">
        <v>20</v>
      </c>
      <c r="B32">
        <v>36.4</v>
      </c>
      <c r="C32">
        <v>29.2</v>
      </c>
      <c r="D32" s="42"/>
      <c r="E32" s="43"/>
      <c r="F32" s="43"/>
      <c r="G32" s="43"/>
      <c r="H32" s="43"/>
      <c r="I32" s="44">
        <f t="shared" si="3"/>
        <v>65.599999999999994</v>
      </c>
      <c r="J32" s="45">
        <f t="shared" si="1"/>
        <v>32.799999999999997</v>
      </c>
      <c r="K32" s="45">
        <f t="shared" si="2"/>
        <v>3.6000000000000045</v>
      </c>
    </row>
    <row r="33" spans="1:11" ht="15">
      <c r="A33" s="40">
        <v>21</v>
      </c>
      <c r="B33">
        <v>41.6</v>
      </c>
      <c r="C33">
        <v>37.200000000000003</v>
      </c>
      <c r="D33" s="42"/>
      <c r="E33" s="43"/>
      <c r="F33" s="43"/>
      <c r="G33" s="43"/>
      <c r="H33" s="43"/>
      <c r="I33" s="44">
        <f t="shared" si="3"/>
        <v>78.800000000000011</v>
      </c>
      <c r="J33" s="45">
        <f t="shared" si="1"/>
        <v>39.400000000000006</v>
      </c>
      <c r="K33" s="45">
        <f t="shared" si="2"/>
        <v>2.1999999999999815</v>
      </c>
    </row>
    <row r="34" spans="1:11" ht="15">
      <c r="A34" s="40">
        <v>22</v>
      </c>
      <c r="B34">
        <v>34</v>
      </c>
      <c r="C34">
        <v>38.4</v>
      </c>
      <c r="D34" s="42"/>
      <c r="E34" s="43"/>
      <c r="F34" s="43"/>
      <c r="G34" s="43"/>
      <c r="H34" s="43"/>
      <c r="I34" s="44">
        <f t="shared" si="3"/>
        <v>72.400000000000006</v>
      </c>
      <c r="J34" s="45">
        <f t="shared" si="1"/>
        <v>36.200000000000003</v>
      </c>
      <c r="K34" s="45">
        <f t="shared" si="2"/>
        <v>2.1999999999999296</v>
      </c>
    </row>
    <row r="35" spans="1:11" ht="15">
      <c r="A35" s="40">
        <v>23</v>
      </c>
      <c r="B35">
        <v>70.8</v>
      </c>
      <c r="C35">
        <v>64.400000000000006</v>
      </c>
      <c r="D35" s="42"/>
      <c r="E35" s="43"/>
      <c r="F35" s="43"/>
      <c r="G35" s="43"/>
      <c r="H35" s="43"/>
      <c r="I35" s="44">
        <f t="shared" si="3"/>
        <v>135.19999999999999</v>
      </c>
      <c r="J35" s="45">
        <f t="shared" si="1"/>
        <v>67.599999999999994</v>
      </c>
      <c r="K35" s="45">
        <f t="shared" si="2"/>
        <v>3.2000000000001076</v>
      </c>
    </row>
    <row r="36" spans="1:11" ht="15">
      <c r="A36" s="40">
        <v>24</v>
      </c>
      <c r="B36">
        <v>25.6</v>
      </c>
      <c r="C36">
        <v>28</v>
      </c>
      <c r="D36" s="42"/>
      <c r="E36" s="43"/>
      <c r="F36" s="43"/>
      <c r="G36" s="43"/>
      <c r="H36" s="43"/>
      <c r="I36" s="44">
        <f t="shared" si="3"/>
        <v>53.6</v>
      </c>
      <c r="J36" s="45">
        <f t="shared" si="1"/>
        <v>26.8</v>
      </c>
      <c r="K36" s="45">
        <f t="shared" si="2"/>
        <v>1.2000000000000226</v>
      </c>
    </row>
    <row r="37" spans="1:11" ht="15">
      <c r="A37" s="40">
        <v>25</v>
      </c>
      <c r="B37">
        <v>59.6</v>
      </c>
      <c r="C37">
        <v>58.4</v>
      </c>
      <c r="D37" s="49"/>
      <c r="E37" s="43"/>
      <c r="F37" s="43"/>
      <c r="G37" s="43"/>
      <c r="H37" s="43"/>
      <c r="I37" s="44">
        <f t="shared" si="3"/>
        <v>118</v>
      </c>
      <c r="J37" s="45">
        <f t="shared" si="1"/>
        <v>59</v>
      </c>
      <c r="K37" s="45">
        <f t="shared" si="2"/>
        <v>0.60000000000010612</v>
      </c>
    </row>
    <row r="38" spans="1:11" ht="15">
      <c r="A38" s="40">
        <v>26</v>
      </c>
      <c r="B38">
        <v>59.2</v>
      </c>
      <c r="C38">
        <v>68</v>
      </c>
      <c r="D38" s="49"/>
      <c r="E38" s="43"/>
      <c r="F38" s="43"/>
      <c r="G38" s="43"/>
      <c r="H38" s="43"/>
      <c r="I38" s="44">
        <f t="shared" si="3"/>
        <v>127.2</v>
      </c>
      <c r="J38" s="45">
        <f t="shared" si="1"/>
        <v>63.6</v>
      </c>
      <c r="K38" s="45">
        <f t="shared" si="2"/>
        <v>4.4000000000000146</v>
      </c>
    </row>
    <row r="39" spans="1:11" ht="15">
      <c r="A39" s="40">
        <v>27</v>
      </c>
      <c r="B39">
        <v>20</v>
      </c>
      <c r="C39">
        <v>18.8</v>
      </c>
      <c r="D39" s="49"/>
      <c r="E39" s="43"/>
      <c r="F39" s="43"/>
      <c r="G39" s="43"/>
      <c r="H39" s="43"/>
      <c r="I39" s="44">
        <f t="shared" si="3"/>
        <v>38.799999999999997</v>
      </c>
      <c r="J39" s="45">
        <f t="shared" si="1"/>
        <v>19.399999999999999</v>
      </c>
      <c r="K39" s="45">
        <f t="shared" si="2"/>
        <v>0.60000000000005871</v>
      </c>
    </row>
    <row r="40" spans="1:11" ht="15">
      <c r="A40" s="40">
        <v>28</v>
      </c>
      <c r="B40">
        <v>49.2</v>
      </c>
      <c r="C40">
        <v>59.6</v>
      </c>
      <c r="D40" s="49"/>
      <c r="E40" s="43"/>
      <c r="F40" s="43"/>
      <c r="G40" s="43"/>
      <c r="H40" s="43"/>
      <c r="I40" s="44">
        <f t="shared" si="3"/>
        <v>108.80000000000001</v>
      </c>
      <c r="J40" s="45">
        <f t="shared" si="1"/>
        <v>54.400000000000006</v>
      </c>
      <c r="K40" s="45">
        <f t="shared" si="2"/>
        <v>5.1999999999999966</v>
      </c>
    </row>
    <row r="41" spans="1:11" ht="15">
      <c r="A41" s="40">
        <v>29</v>
      </c>
      <c r="B41">
        <v>29.6</v>
      </c>
      <c r="C41">
        <v>28</v>
      </c>
      <c r="D41" s="49"/>
      <c r="E41" s="43"/>
      <c r="F41" s="43"/>
      <c r="G41" s="43"/>
      <c r="H41" s="43"/>
      <c r="I41" s="44">
        <f t="shared" si="3"/>
        <v>57.6</v>
      </c>
      <c r="J41" s="45">
        <f t="shared" si="1"/>
        <v>28.8</v>
      </c>
      <c r="K41" s="45">
        <f t="shared" si="2"/>
        <v>0.7999999999999915</v>
      </c>
    </row>
    <row r="42" spans="1:11" ht="15">
      <c r="A42" s="40">
        <v>30</v>
      </c>
      <c r="B42">
        <v>38.4</v>
      </c>
      <c r="C42">
        <v>30.8</v>
      </c>
      <c r="D42" s="49"/>
      <c r="E42" s="43"/>
      <c r="F42" s="43"/>
      <c r="G42" s="43"/>
      <c r="H42" s="43"/>
      <c r="I42" s="44">
        <f t="shared" si="3"/>
        <v>69.2</v>
      </c>
      <c r="J42" s="45">
        <f t="shared" si="1"/>
        <v>34.6</v>
      </c>
      <c r="K42" s="45">
        <f t="shared" si="2"/>
        <v>3.7999999999999772</v>
      </c>
    </row>
    <row r="43" spans="1:11" ht="15">
      <c r="A43" s="40">
        <v>31</v>
      </c>
      <c r="B43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1528.1999999999998</v>
      </c>
      <c r="C74" s="51">
        <f>SUM(C13:C73)</f>
        <v>1491.6000000000001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3019.8</v>
      </c>
      <c r="J74" s="32"/>
    </row>
    <row r="75" spans="1:11">
      <c r="B75" s="25">
        <f>AVERAGE(B13:B28)</f>
        <v>59.037499999999994</v>
      </c>
      <c r="C75" s="25">
        <f>AVERAGE(C13:C28)</f>
        <v>57.074999999999996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4"/>
  <sheetViews>
    <sheetView topLeftCell="B27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178.42539260414196</v>
      </c>
      <c r="G3" s="21">
        <f>F3/E3</f>
        <v>178.42539260414196</v>
      </c>
      <c r="H3" s="21">
        <f>G3/G5</f>
        <v>10.542170531334635</v>
      </c>
      <c r="I3" s="22">
        <f>FINV(0.05,E3,E$5)</f>
        <v>4.1829641621552192</v>
      </c>
      <c r="J3" s="23" t="str">
        <f>IF(H3&gt;K3,"**",IF(H3&gt;I3,"*","NS"))</f>
        <v>**</v>
      </c>
      <c r="K3" s="22">
        <f>FINV(0.01,E3,E$5)</f>
        <v>7.5976632412849163</v>
      </c>
      <c r="L3" s="13">
        <f>FDIST(H3,E3,E$5)</f>
        <v>2.9431093427749518E-3</v>
      </c>
    </row>
    <row r="4" spans="1:16">
      <c r="B4" s="16" t="s">
        <v>67</v>
      </c>
      <c r="C4" s="24">
        <f>I74</f>
        <v>2754.6125000000002</v>
      </c>
      <c r="D4" s="20" t="s">
        <v>3</v>
      </c>
      <c r="E4" s="21">
        <f>C2-1</f>
        <v>29</v>
      </c>
      <c r="F4" s="21">
        <f>(SUMSQ(I13:I73)/C3)-C6</f>
        <v>5340.62564427084</v>
      </c>
      <c r="G4" s="21">
        <f>F4/E4</f>
        <v>184.15950497485656</v>
      </c>
      <c r="H4" s="21">
        <f>G4/G5</f>
        <v>10.880967546578001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3.3948266483395033E-9</v>
      </c>
    </row>
    <row r="5" spans="1:16">
      <c r="B5" s="16" t="s">
        <v>68</v>
      </c>
      <c r="C5" s="24">
        <f>I74/(C2*C3)</f>
        <v>45.910208333333337</v>
      </c>
      <c r="D5" s="20" t="s">
        <v>69</v>
      </c>
      <c r="E5" s="21">
        <f>E4*E3</f>
        <v>29</v>
      </c>
      <c r="F5" s="21">
        <f>F6-F4-F3</f>
        <v>490.82267927087378</v>
      </c>
      <c r="G5" s="22">
        <f>F5/E5</f>
        <v>16.924919974857715</v>
      </c>
      <c r="H5" s="21"/>
      <c r="I5" s="21"/>
      <c r="J5" s="23"/>
    </row>
    <row r="6" spans="1:16">
      <c r="B6" s="16" t="s">
        <v>70</v>
      </c>
      <c r="C6" s="24">
        <f>POWER(I74,2)/(C2*C3)</f>
        <v>126464.83375260419</v>
      </c>
      <c r="D6" s="18" t="s">
        <v>71</v>
      </c>
      <c r="E6" s="26">
        <f>C2*C3-1</f>
        <v>59</v>
      </c>
      <c r="F6" s="26">
        <f>SUMSQ(B13:H73)-C6</f>
        <v>6009.8737161458557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4.1139907601813732</v>
      </c>
      <c r="G7" s="31"/>
      <c r="H7" s="31"/>
      <c r="I7" s="31"/>
    </row>
    <row r="8" spans="1:16">
      <c r="D8" s="60" t="s">
        <v>73</v>
      </c>
      <c r="E8" s="60"/>
      <c r="F8" s="32">
        <f>SQRT((G5)/C3)</f>
        <v>2.9090307642630489</v>
      </c>
      <c r="I8" s="33"/>
    </row>
    <row r="9" spans="1:16">
      <c r="D9" s="60" t="s">
        <v>74</v>
      </c>
      <c r="E9" s="60"/>
      <c r="F9" s="32">
        <f>TINV(0.05,E5)*F8*SQRT(2)</f>
        <v>8.4140557225499109</v>
      </c>
      <c r="G9" s="13" t="s">
        <v>75</v>
      </c>
      <c r="H9" s="32">
        <f>TINV(0.01,E5)*F8*SQRT(2)</f>
        <v>11.339746132725606</v>
      </c>
    </row>
    <row r="10" spans="1:16">
      <c r="D10" s="60" t="s">
        <v>76</v>
      </c>
      <c r="E10" s="60"/>
      <c r="F10" s="32">
        <f>SQRT(G5)/C5*100</f>
        <v>8.9609498835455934</v>
      </c>
    </row>
    <row r="11" spans="1:16">
      <c r="D11" s="23"/>
      <c r="E11" s="34"/>
      <c r="O11" s="35" t="s">
        <v>68</v>
      </c>
      <c r="P11" s="36">
        <f>C5</f>
        <v>45.910208333333337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4.1139907601813732</v>
      </c>
    </row>
    <row r="13" spans="1:16" ht="15">
      <c r="A13" s="40">
        <v>1</v>
      </c>
      <c r="B13" s="8">
        <v>43.877500000000005</v>
      </c>
      <c r="C13" s="8">
        <v>41.037500000000001</v>
      </c>
      <c r="D13" s="42"/>
      <c r="E13" s="43"/>
      <c r="F13" s="43"/>
      <c r="G13" s="43"/>
      <c r="H13" s="43"/>
      <c r="I13" s="44">
        <f t="shared" ref="I13:I28" si="0">SUM(B13:H13)</f>
        <v>84.915000000000006</v>
      </c>
      <c r="J13" s="45">
        <f t="shared" ref="J13:J73" si="1">AVERAGE(B13:H13)</f>
        <v>42.457500000000003</v>
      </c>
      <c r="K13" s="26">
        <f t="shared" ref="K13:K73" si="2">STDEV(B13:D13)/SQRT(C$3)</f>
        <v>1.4199999999999915</v>
      </c>
      <c r="O13" s="38" t="s">
        <v>82</v>
      </c>
      <c r="P13" s="39">
        <f>F7/C5*100</f>
        <v>8.9609498835455934</v>
      </c>
    </row>
    <row r="14" spans="1:16" ht="15">
      <c r="A14" s="40">
        <v>2</v>
      </c>
      <c r="B14" s="8">
        <v>23.060000000000002</v>
      </c>
      <c r="C14" s="8">
        <v>34.412500000000001</v>
      </c>
      <c r="D14" s="42"/>
      <c r="E14" s="43"/>
      <c r="F14" s="43"/>
      <c r="G14" s="43"/>
      <c r="H14" s="43"/>
      <c r="I14" s="44">
        <f t="shared" si="0"/>
        <v>57.472500000000004</v>
      </c>
      <c r="J14" s="45">
        <f t="shared" si="1"/>
        <v>28.736250000000002</v>
      </c>
      <c r="K14" s="26">
        <f t="shared" si="2"/>
        <v>5.676249999999996</v>
      </c>
      <c r="O14" s="38" t="s">
        <v>83</v>
      </c>
      <c r="P14" s="39">
        <f>F7/SQRT(C3)</f>
        <v>2.9090307642630484</v>
      </c>
    </row>
    <row r="15" spans="1:16" ht="15">
      <c r="A15" s="40">
        <v>3</v>
      </c>
      <c r="B15" s="8">
        <v>37.0625</v>
      </c>
      <c r="C15" s="8">
        <v>42.414999999999999</v>
      </c>
      <c r="D15" s="42"/>
      <c r="E15" s="43"/>
      <c r="F15" s="43"/>
      <c r="G15" s="43"/>
      <c r="H15" s="43"/>
      <c r="I15" s="44">
        <f t="shared" si="0"/>
        <v>79.477499999999992</v>
      </c>
      <c r="J15" s="45">
        <f t="shared" si="1"/>
        <v>39.738749999999996</v>
      </c>
      <c r="K15" s="26">
        <f t="shared" si="2"/>
        <v>2.676250000000032</v>
      </c>
      <c r="O15" s="38" t="s">
        <v>84</v>
      </c>
      <c r="P15" s="39">
        <f>F8*SQRT(2)</f>
        <v>4.1139907601813741</v>
      </c>
    </row>
    <row r="16" spans="1:16" ht="15">
      <c r="A16" s="40">
        <v>4</v>
      </c>
      <c r="B16" s="8">
        <v>41.474999999999994</v>
      </c>
      <c r="C16" s="8">
        <v>41.402499999999996</v>
      </c>
      <c r="D16" s="42"/>
      <c r="E16" s="43"/>
      <c r="F16" s="43"/>
      <c r="G16" s="43"/>
      <c r="H16" s="43"/>
      <c r="I16" s="44">
        <f t="shared" si="0"/>
        <v>82.877499999999998</v>
      </c>
      <c r="J16" s="45">
        <f t="shared" si="1"/>
        <v>41.438749999999999</v>
      </c>
      <c r="K16" s="26">
        <f t="shared" si="2"/>
        <v>3.6249999999999005E-2</v>
      </c>
      <c r="O16" s="38" t="s">
        <v>85</v>
      </c>
      <c r="P16" s="39">
        <f>TINV(0.05,E5)*F8*SQRT(2)</f>
        <v>8.4140557225499109</v>
      </c>
    </row>
    <row r="17" spans="1:16" ht="15">
      <c r="A17" s="40">
        <v>5</v>
      </c>
      <c r="B17" s="8">
        <v>46.067500000000003</v>
      </c>
      <c r="C17" s="8">
        <v>42.345000000000006</v>
      </c>
      <c r="D17" s="42"/>
      <c r="E17" s="43"/>
      <c r="F17" s="43"/>
      <c r="G17" s="43"/>
      <c r="H17" s="43"/>
      <c r="I17" s="44">
        <f t="shared" si="0"/>
        <v>88.412500000000009</v>
      </c>
      <c r="J17" s="45">
        <f t="shared" si="1"/>
        <v>44.206250000000004</v>
      </c>
      <c r="K17" s="26">
        <f t="shared" si="2"/>
        <v>1.8612500000000178</v>
      </c>
      <c r="O17" s="38" t="s">
        <v>86</v>
      </c>
      <c r="P17" s="39">
        <f>TINV(0.01,E5)*F8*SQRT(2)</f>
        <v>11.339746132725606</v>
      </c>
    </row>
    <row r="18" spans="1:16" ht="15">
      <c r="A18" s="40">
        <v>6</v>
      </c>
      <c r="B18" s="8">
        <v>46.082500000000003</v>
      </c>
      <c r="C18" s="8">
        <v>46.674999999999997</v>
      </c>
      <c r="D18" s="42"/>
      <c r="E18" s="43"/>
      <c r="F18" s="43"/>
      <c r="G18" s="43"/>
      <c r="H18" s="43"/>
      <c r="I18" s="44">
        <f t="shared" si="0"/>
        <v>92.757499999999993</v>
      </c>
      <c r="J18" s="45">
        <f t="shared" si="1"/>
        <v>46.378749999999997</v>
      </c>
      <c r="K18" s="26">
        <f t="shared" si="2"/>
        <v>0.2962499999998317</v>
      </c>
      <c r="O18" s="38" t="s">
        <v>87</v>
      </c>
      <c r="P18" s="39">
        <f>(G4-G5)/C3</f>
        <v>83.617292499999422</v>
      </c>
    </row>
    <row r="19" spans="1:16" ht="15">
      <c r="A19" s="40">
        <v>7</v>
      </c>
      <c r="B19" s="8">
        <v>49.407499999999999</v>
      </c>
      <c r="C19" s="8">
        <v>56.422499999999999</v>
      </c>
      <c r="D19" s="42"/>
      <c r="E19" s="43"/>
      <c r="F19" s="43"/>
      <c r="G19" s="43"/>
      <c r="H19" s="43"/>
      <c r="I19" s="44">
        <f t="shared" si="0"/>
        <v>105.83</v>
      </c>
      <c r="J19" s="45">
        <f t="shared" si="1"/>
        <v>52.914999999999999</v>
      </c>
      <c r="K19" s="26">
        <f t="shared" si="2"/>
        <v>3.5074999999999603</v>
      </c>
      <c r="O19" s="38" t="s">
        <v>88</v>
      </c>
      <c r="P19" s="39">
        <f>P18+G5</f>
        <v>100.54221247485714</v>
      </c>
    </row>
    <row r="20" spans="1:16" ht="15">
      <c r="A20" s="40">
        <v>8</v>
      </c>
      <c r="B20" s="8">
        <v>47.4925</v>
      </c>
      <c r="C20" s="8">
        <v>54.087500000000006</v>
      </c>
      <c r="D20" s="42"/>
      <c r="E20" s="43"/>
      <c r="F20" s="43"/>
      <c r="G20" s="43"/>
      <c r="H20" s="43"/>
      <c r="I20" s="44">
        <f t="shared" si="0"/>
        <v>101.58000000000001</v>
      </c>
      <c r="J20" s="45">
        <f t="shared" si="1"/>
        <v>50.790000000000006</v>
      </c>
      <c r="K20" s="26">
        <f t="shared" si="2"/>
        <v>3.2974999999999297</v>
      </c>
      <c r="O20" s="38" t="s">
        <v>89</v>
      </c>
      <c r="P20" s="39">
        <f>SQRT(P18)</f>
        <v>9.1442491490553461</v>
      </c>
    </row>
    <row r="21" spans="1:16" ht="15">
      <c r="A21" s="40">
        <v>9</v>
      </c>
      <c r="B21" s="8">
        <v>47.8</v>
      </c>
      <c r="C21" s="8">
        <v>49.585000000000001</v>
      </c>
      <c r="D21" s="42"/>
      <c r="E21" s="43"/>
      <c r="F21" s="43"/>
      <c r="G21" s="43"/>
      <c r="H21" s="43"/>
      <c r="I21" s="44">
        <f t="shared" si="0"/>
        <v>97.384999999999991</v>
      </c>
      <c r="J21" s="45">
        <f t="shared" si="1"/>
        <v>48.692499999999995</v>
      </c>
      <c r="K21" s="26">
        <f t="shared" si="2"/>
        <v>0.89250000000043483</v>
      </c>
      <c r="O21" s="38" t="s">
        <v>90</v>
      </c>
      <c r="P21" s="39">
        <f>SQRT(P19)</f>
        <v>10.027073973740153</v>
      </c>
    </row>
    <row r="22" spans="1:16" ht="15">
      <c r="A22" s="40">
        <v>10</v>
      </c>
      <c r="B22" s="11">
        <v>45.414999999999999</v>
      </c>
      <c r="C22" s="11">
        <v>51.145000000000003</v>
      </c>
      <c r="D22" s="42"/>
      <c r="E22" s="43"/>
      <c r="F22" s="43"/>
      <c r="G22" s="43"/>
      <c r="H22" s="43"/>
      <c r="I22" s="44">
        <f t="shared" si="0"/>
        <v>96.56</v>
      </c>
      <c r="J22" s="45">
        <f t="shared" si="1"/>
        <v>48.28</v>
      </c>
      <c r="K22" s="26">
        <f t="shared" si="2"/>
        <v>2.8649999999999749</v>
      </c>
      <c r="O22" s="38" t="s">
        <v>91</v>
      </c>
      <c r="P22" s="39">
        <f>G5</f>
        <v>16.924919974857715</v>
      </c>
    </row>
    <row r="23" spans="1:16" ht="15">
      <c r="A23" s="40">
        <v>11</v>
      </c>
      <c r="B23" s="8">
        <v>35.880000000000003</v>
      </c>
      <c r="C23" s="8">
        <v>34.907499999999999</v>
      </c>
      <c r="D23" s="42"/>
      <c r="E23" s="43"/>
      <c r="F23" s="43"/>
      <c r="G23" s="43"/>
      <c r="H23" s="43"/>
      <c r="I23" s="44">
        <f t="shared" si="0"/>
        <v>70.787499999999994</v>
      </c>
      <c r="J23" s="45">
        <f t="shared" si="1"/>
        <v>35.393749999999997</v>
      </c>
      <c r="K23" s="26">
        <f t="shared" si="2"/>
        <v>0.48625000000027452</v>
      </c>
      <c r="O23" s="38" t="s">
        <v>92</v>
      </c>
      <c r="P23" s="39">
        <f>SQRT(P22)</f>
        <v>4.1139907601813732</v>
      </c>
    </row>
    <row r="24" spans="1:16" ht="15">
      <c r="A24" s="40">
        <v>12</v>
      </c>
      <c r="B24" s="8">
        <v>47.584999999999994</v>
      </c>
      <c r="C24" s="8">
        <v>44.99</v>
      </c>
      <c r="D24" s="42"/>
      <c r="E24" s="43"/>
      <c r="F24" s="43"/>
      <c r="G24" s="43"/>
      <c r="H24" s="43"/>
      <c r="I24" s="44">
        <f t="shared" si="0"/>
        <v>92.574999999999989</v>
      </c>
      <c r="J24" s="45">
        <f t="shared" si="1"/>
        <v>46.287499999999994</v>
      </c>
      <c r="K24" s="26">
        <f t="shared" si="2"/>
        <v>1.2975000000001509</v>
      </c>
      <c r="O24" s="38" t="s">
        <v>93</v>
      </c>
      <c r="P24" s="39">
        <f>P20/C5*100</f>
        <v>19.917681668231765</v>
      </c>
    </row>
    <row r="25" spans="1:16" ht="15">
      <c r="A25" s="40">
        <v>13</v>
      </c>
      <c r="B25" s="8">
        <v>35.410000000000004</v>
      </c>
      <c r="C25" s="8">
        <v>34.077500000000001</v>
      </c>
      <c r="D25" s="42"/>
      <c r="E25" s="43"/>
      <c r="F25" s="43"/>
      <c r="G25" s="43"/>
      <c r="H25" s="43"/>
      <c r="I25" s="44">
        <f t="shared" si="0"/>
        <v>69.487500000000011</v>
      </c>
      <c r="J25" s="45">
        <f t="shared" si="1"/>
        <v>34.743750000000006</v>
      </c>
      <c r="K25" s="26">
        <f t="shared" si="2"/>
        <v>0.66624999999994017</v>
      </c>
      <c r="O25" s="38" t="s">
        <v>94</v>
      </c>
      <c r="P25" s="39">
        <f>P21/C5*100</f>
        <v>21.84061963068886</v>
      </c>
    </row>
    <row r="26" spans="1:16" ht="15">
      <c r="A26" s="40">
        <v>14</v>
      </c>
      <c r="B26" s="8">
        <v>34.950000000000003</v>
      </c>
      <c r="C26" s="8">
        <v>43.5075</v>
      </c>
      <c r="D26" s="42"/>
      <c r="E26" s="43"/>
      <c r="F26" s="43"/>
      <c r="G26" s="43"/>
      <c r="H26" s="43"/>
      <c r="I26" s="44">
        <f t="shared" si="0"/>
        <v>78.45750000000001</v>
      </c>
      <c r="J26" s="45">
        <f t="shared" si="1"/>
        <v>39.228750000000005</v>
      </c>
      <c r="K26" s="26">
        <f t="shared" si="2"/>
        <v>4.2787499999999898</v>
      </c>
      <c r="O26" s="38" t="s">
        <v>95</v>
      </c>
      <c r="P26" s="39">
        <f>P23/C5*100</f>
        <v>8.9609498835455934</v>
      </c>
    </row>
    <row r="27" spans="1:16" ht="15">
      <c r="A27" s="40">
        <v>15</v>
      </c>
      <c r="B27" s="8">
        <v>31.729999999999997</v>
      </c>
      <c r="C27" s="8">
        <v>31.052500000000002</v>
      </c>
      <c r="D27" s="42"/>
      <c r="E27" s="43"/>
      <c r="F27" s="43"/>
      <c r="G27" s="43"/>
      <c r="H27" s="43"/>
      <c r="I27" s="44">
        <f t="shared" si="0"/>
        <v>62.782499999999999</v>
      </c>
      <c r="J27" s="45">
        <f t="shared" si="1"/>
        <v>31.391249999999999</v>
      </c>
      <c r="K27" s="26">
        <f t="shared" si="2"/>
        <v>0.33875000000004774</v>
      </c>
      <c r="O27" s="38" t="s">
        <v>96</v>
      </c>
      <c r="P27" s="39">
        <f>P18/P19*100</f>
        <v>83.166354152898535</v>
      </c>
    </row>
    <row r="28" spans="1:16" ht="15">
      <c r="A28" s="40">
        <v>16</v>
      </c>
      <c r="B28" s="8">
        <v>53.5075</v>
      </c>
      <c r="C28" s="8">
        <v>53.14</v>
      </c>
      <c r="D28" s="42"/>
      <c r="E28" s="43"/>
      <c r="F28" s="43"/>
      <c r="G28" s="43"/>
      <c r="H28" s="43"/>
      <c r="I28" s="44">
        <f t="shared" si="0"/>
        <v>106.64750000000001</v>
      </c>
      <c r="J28" s="45">
        <f t="shared" si="1"/>
        <v>53.323750000000004</v>
      </c>
      <c r="K28" s="26">
        <f t="shared" si="2"/>
        <v>0.18374999999949115</v>
      </c>
      <c r="O28" s="38" t="s">
        <v>97</v>
      </c>
      <c r="P28" s="39">
        <f>P18/P21*2.06</f>
        <v>17.178652815478138</v>
      </c>
    </row>
    <row r="29" spans="1:16" ht="15">
      <c r="A29" s="40">
        <v>17</v>
      </c>
      <c r="B29" s="8">
        <v>38.1875</v>
      </c>
      <c r="C29" s="8">
        <v>49.11</v>
      </c>
      <c r="D29" s="42"/>
      <c r="E29" s="43"/>
      <c r="F29" s="43"/>
      <c r="G29" s="43"/>
      <c r="H29" s="43"/>
      <c r="I29" s="44">
        <f t="shared" ref="I29:I44" si="3">SUM(B29:H29)</f>
        <v>87.297499999999999</v>
      </c>
      <c r="J29" s="45">
        <f t="shared" si="1"/>
        <v>43.64875</v>
      </c>
      <c r="K29" s="45">
        <f t="shared" si="2"/>
        <v>5.4612500000000157</v>
      </c>
      <c r="O29" s="47" t="s">
        <v>98</v>
      </c>
      <c r="P29" s="48">
        <f>P28/C5*100</f>
        <v>37.41793696676713</v>
      </c>
    </row>
    <row r="30" spans="1:16" ht="15">
      <c r="A30" s="40">
        <v>18</v>
      </c>
      <c r="B30" s="8">
        <v>47.347500000000004</v>
      </c>
      <c r="C30" s="8">
        <v>42.015000000000001</v>
      </c>
      <c r="D30" s="42"/>
      <c r="E30" s="43"/>
      <c r="F30" s="43"/>
      <c r="G30" s="43"/>
      <c r="H30" s="43"/>
      <c r="I30" s="44">
        <f t="shared" si="3"/>
        <v>89.362500000000011</v>
      </c>
      <c r="J30" s="45">
        <f t="shared" si="1"/>
        <v>44.681250000000006</v>
      </c>
      <c r="K30" s="45">
        <f t="shared" si="2"/>
        <v>2.6662499999999354</v>
      </c>
    </row>
    <row r="31" spans="1:16" ht="15">
      <c r="A31" s="40">
        <v>19</v>
      </c>
      <c r="B31" s="8">
        <v>38.607500000000002</v>
      </c>
      <c r="C31" s="8">
        <v>42.292499999999997</v>
      </c>
      <c r="D31" s="42"/>
      <c r="E31" s="43"/>
      <c r="F31" s="43"/>
      <c r="G31" s="43"/>
      <c r="H31" s="43"/>
      <c r="I31" s="44">
        <f t="shared" si="3"/>
        <v>80.900000000000006</v>
      </c>
      <c r="J31" s="45">
        <f t="shared" si="1"/>
        <v>40.450000000000003</v>
      </c>
      <c r="K31" s="45">
        <f t="shared" si="2"/>
        <v>1.8424999999999041</v>
      </c>
    </row>
    <row r="32" spans="1:16" ht="15">
      <c r="A32" s="40">
        <v>20</v>
      </c>
      <c r="B32" s="11">
        <v>33.14</v>
      </c>
      <c r="C32" s="11">
        <v>46.967500000000001</v>
      </c>
      <c r="D32" s="42"/>
      <c r="E32" s="43"/>
      <c r="F32" s="43"/>
      <c r="G32" s="43"/>
      <c r="H32" s="43"/>
      <c r="I32" s="44">
        <f t="shared" si="3"/>
        <v>80.107500000000002</v>
      </c>
      <c r="J32" s="45">
        <f t="shared" si="1"/>
        <v>40.053750000000001</v>
      </c>
      <c r="K32" s="45">
        <f t="shared" si="2"/>
        <v>6.9137500000000003</v>
      </c>
    </row>
    <row r="33" spans="1:11" ht="15">
      <c r="A33" s="40">
        <v>21</v>
      </c>
      <c r="B33" s="8">
        <v>35.677500000000002</v>
      </c>
      <c r="C33" s="8">
        <v>42</v>
      </c>
      <c r="D33" s="42"/>
      <c r="E33" s="43"/>
      <c r="F33" s="43"/>
      <c r="G33" s="43"/>
      <c r="H33" s="43"/>
      <c r="I33" s="44">
        <f t="shared" si="3"/>
        <v>77.677500000000009</v>
      </c>
      <c r="J33" s="45">
        <f t="shared" si="1"/>
        <v>38.838750000000005</v>
      </c>
      <c r="K33" s="45">
        <f t="shared" si="2"/>
        <v>3.1612499999999817</v>
      </c>
    </row>
    <row r="34" spans="1:11" ht="15">
      <c r="A34" s="40">
        <v>22</v>
      </c>
      <c r="B34" s="8">
        <v>50.017499999999998</v>
      </c>
      <c r="C34" s="8">
        <v>56.652500000000003</v>
      </c>
      <c r="D34" s="42"/>
      <c r="E34" s="43"/>
      <c r="F34" s="43"/>
      <c r="G34" s="43"/>
      <c r="H34" s="43"/>
      <c r="I34" s="44">
        <f t="shared" si="3"/>
        <v>106.67</v>
      </c>
      <c r="J34" s="45">
        <f t="shared" si="1"/>
        <v>53.335000000000001</v>
      </c>
      <c r="K34" s="45">
        <f t="shared" si="2"/>
        <v>3.317500000000031</v>
      </c>
    </row>
    <row r="35" spans="1:11" ht="15">
      <c r="A35" s="40">
        <v>23</v>
      </c>
      <c r="B35" s="8">
        <v>45.112499999999997</v>
      </c>
      <c r="C35" s="8">
        <v>41.092499999999994</v>
      </c>
      <c r="D35" s="42"/>
      <c r="E35" s="43"/>
      <c r="F35" s="43"/>
      <c r="G35" s="43"/>
      <c r="H35" s="43"/>
      <c r="I35" s="44">
        <f t="shared" si="3"/>
        <v>86.204999999999984</v>
      </c>
      <c r="J35" s="45">
        <f t="shared" si="1"/>
        <v>43.102499999999992</v>
      </c>
      <c r="K35" s="45">
        <f t="shared" si="2"/>
        <v>2.0100000000000411</v>
      </c>
    </row>
    <row r="36" spans="1:11" ht="15">
      <c r="A36" s="40">
        <v>24</v>
      </c>
      <c r="B36" s="8">
        <v>35.317499999999995</v>
      </c>
      <c r="C36" s="8">
        <v>40.045000000000002</v>
      </c>
      <c r="D36" s="42"/>
      <c r="E36" s="43"/>
      <c r="F36" s="43"/>
      <c r="G36" s="43"/>
      <c r="H36" s="43"/>
      <c r="I36" s="44">
        <f t="shared" si="3"/>
        <v>75.362499999999997</v>
      </c>
      <c r="J36" s="45">
        <f t="shared" si="1"/>
        <v>37.681249999999999</v>
      </c>
      <c r="K36" s="45">
        <f t="shared" si="2"/>
        <v>2.3637500000000267</v>
      </c>
    </row>
    <row r="37" spans="1:11" ht="15">
      <c r="A37" s="40">
        <v>25</v>
      </c>
      <c r="B37" s="8">
        <v>38.980000000000004</v>
      </c>
      <c r="C37" s="8">
        <v>54.477499999999999</v>
      </c>
      <c r="D37" s="49"/>
      <c r="E37" s="43"/>
      <c r="F37" s="43"/>
      <c r="G37" s="43"/>
      <c r="H37" s="43"/>
      <c r="I37" s="44">
        <f t="shared" si="3"/>
        <v>93.45750000000001</v>
      </c>
      <c r="J37" s="45">
        <f t="shared" si="1"/>
        <v>46.728750000000005</v>
      </c>
      <c r="K37" s="45">
        <f t="shared" si="2"/>
        <v>7.7487499999999843</v>
      </c>
    </row>
    <row r="38" spans="1:11" ht="15">
      <c r="A38" s="40">
        <v>26</v>
      </c>
      <c r="B38" s="8">
        <v>66.260000000000005</v>
      </c>
      <c r="C38" s="8">
        <v>64.762500000000003</v>
      </c>
      <c r="D38" s="49"/>
      <c r="E38" s="43"/>
      <c r="F38" s="43"/>
      <c r="G38" s="43"/>
      <c r="H38" s="43"/>
      <c r="I38" s="44">
        <f t="shared" si="3"/>
        <v>131.02250000000001</v>
      </c>
      <c r="J38" s="45">
        <f t="shared" si="1"/>
        <v>65.511250000000004</v>
      </c>
      <c r="K38" s="45">
        <f t="shared" si="2"/>
        <v>0.74875000000009806</v>
      </c>
    </row>
    <row r="39" spans="1:11" ht="15">
      <c r="A39" s="40">
        <v>27</v>
      </c>
      <c r="B39" s="8">
        <v>64.317499999999995</v>
      </c>
      <c r="C39" s="8">
        <v>60.67</v>
      </c>
      <c r="D39" s="49"/>
      <c r="E39" s="43"/>
      <c r="F39" s="43"/>
      <c r="G39" s="43"/>
      <c r="H39" s="43"/>
      <c r="I39" s="44">
        <f t="shared" si="3"/>
        <v>124.9875</v>
      </c>
      <c r="J39" s="45">
        <f t="shared" si="1"/>
        <v>62.493749999999999</v>
      </c>
      <c r="K39" s="45">
        <f t="shared" si="2"/>
        <v>1.8237499999998426</v>
      </c>
    </row>
    <row r="40" spans="1:11" ht="15">
      <c r="A40" s="40">
        <v>28</v>
      </c>
      <c r="B40" s="8">
        <v>65.305000000000007</v>
      </c>
      <c r="C40" s="8">
        <v>67.185000000000002</v>
      </c>
      <c r="D40" s="49"/>
      <c r="E40" s="43"/>
      <c r="F40" s="43"/>
      <c r="G40" s="43"/>
      <c r="H40" s="43"/>
      <c r="I40" s="44">
        <f t="shared" si="3"/>
        <v>132.49</v>
      </c>
      <c r="J40" s="45">
        <f t="shared" si="1"/>
        <v>66.245000000000005</v>
      </c>
      <c r="K40" s="45">
        <f t="shared" si="2"/>
        <v>0.93999999999957728</v>
      </c>
    </row>
    <row r="41" spans="1:11" ht="15">
      <c r="A41" s="40">
        <v>29</v>
      </c>
      <c r="B41" s="8">
        <v>58.3</v>
      </c>
      <c r="C41" s="8">
        <v>70.685000000000002</v>
      </c>
      <c r="D41" s="49"/>
      <c r="E41" s="43"/>
      <c r="F41" s="43"/>
      <c r="G41" s="43"/>
      <c r="H41" s="43"/>
      <c r="I41" s="44">
        <f t="shared" si="3"/>
        <v>128.98500000000001</v>
      </c>
      <c r="J41" s="45">
        <f t="shared" si="1"/>
        <v>64.492500000000007</v>
      </c>
      <c r="K41" s="45">
        <f t="shared" si="2"/>
        <v>6.1924999999999022</v>
      </c>
    </row>
    <row r="42" spans="1:11" ht="15">
      <c r="A42" s="40">
        <v>30</v>
      </c>
      <c r="B42" s="11">
        <v>42.2</v>
      </c>
      <c r="C42" s="11">
        <v>49.8825</v>
      </c>
      <c r="D42" s="49"/>
      <c r="E42" s="43"/>
      <c r="F42" s="43"/>
      <c r="G42" s="43"/>
      <c r="H42" s="43"/>
      <c r="I42" s="44">
        <f t="shared" si="3"/>
        <v>92.08250000000001</v>
      </c>
      <c r="J42" s="45">
        <f t="shared" si="1"/>
        <v>46.041250000000005</v>
      </c>
      <c r="K42" s="45">
        <f t="shared" si="2"/>
        <v>3.8412499999999579</v>
      </c>
    </row>
    <row r="43" spans="1:11" ht="15">
      <c r="A43" s="40">
        <v>31</v>
      </c>
      <c r="B43" s="8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 s="8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 s="8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 s="8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 s="8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 s="8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 s="8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 s="8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 s="8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 s="11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 s="8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 s="8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 s="8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 s="8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 s="8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 s="8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 s="8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 s="8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 s="8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 s="11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 s="8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 s="8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 s="8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 s="8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 s="8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 s="8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 s="8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 s="8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 s="8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 s="11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1325.5725</v>
      </c>
      <c r="C74" s="51">
        <f>SUM(C13:C73)</f>
        <v>1429.04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2754.6125000000002</v>
      </c>
      <c r="J74" s="32"/>
    </row>
    <row r="75" spans="1:11">
      <c r="B75" s="25">
        <f>AVERAGE(B13:B28)</f>
        <v>41.675156250000008</v>
      </c>
      <c r="C75" s="25">
        <f>AVERAGE(C13:C28)</f>
        <v>43.825156249999999</v>
      </c>
    </row>
    <row r="83" spans="4:5" ht="15">
      <c r="D83" s="41"/>
      <c r="E83" s="41"/>
    </row>
    <row r="84" spans="4:5" ht="15">
      <c r="D84" s="41"/>
      <c r="E84" s="41"/>
    </row>
    <row r="85" spans="4:5" ht="15">
      <c r="D85" s="41"/>
      <c r="E85" s="41"/>
    </row>
    <row r="86" spans="4:5" ht="15">
      <c r="D86" s="41"/>
      <c r="E86" s="41"/>
    </row>
    <row r="87" spans="4:5" ht="15">
      <c r="D87" s="41"/>
      <c r="E87" s="41"/>
    </row>
    <row r="88" spans="4:5" ht="15">
      <c r="D88" s="41"/>
      <c r="E88" s="41"/>
    </row>
    <row r="89" spans="4:5" ht="15">
      <c r="D89" s="41"/>
      <c r="E89" s="41"/>
    </row>
    <row r="90" spans="4:5" ht="15">
      <c r="D90" s="41"/>
      <c r="E90" s="41"/>
    </row>
    <row r="91" spans="4:5" ht="15">
      <c r="D91" s="41"/>
      <c r="E91" s="41"/>
    </row>
    <row r="92" spans="4:5" ht="15">
      <c r="D92" s="41"/>
      <c r="E92" s="41"/>
    </row>
    <row r="93" spans="4:5" ht="15">
      <c r="D93" s="41"/>
      <c r="E93" s="41"/>
    </row>
    <row r="94" spans="4:5" ht="15">
      <c r="D94" s="41"/>
      <c r="E94" s="41"/>
    </row>
    <row r="95" spans="4:5" ht="15">
      <c r="D95" s="41"/>
      <c r="E95" s="41"/>
    </row>
    <row r="96" spans="4:5" ht="15">
      <c r="D96" s="41"/>
      <c r="E96" s="41"/>
    </row>
    <row r="97" spans="4:5" ht="15">
      <c r="D97" s="41"/>
      <c r="E97" s="41"/>
    </row>
    <row r="98" spans="4:5" ht="15">
      <c r="D98" s="41"/>
      <c r="E98" s="41"/>
    </row>
    <row r="99" spans="4:5" ht="15">
      <c r="D99" s="41"/>
      <c r="E99" s="41"/>
    </row>
    <row r="100" spans="4:5" ht="15">
      <c r="D100" s="41"/>
      <c r="E100" s="41"/>
    </row>
    <row r="101" spans="4:5" ht="15">
      <c r="D101" s="41"/>
      <c r="E101" s="41"/>
    </row>
    <row r="102" spans="4:5" ht="15">
      <c r="D102" s="41"/>
      <c r="E102" s="41"/>
    </row>
    <row r="103" spans="4:5" ht="15">
      <c r="D103" s="41"/>
      <c r="E103" s="41"/>
    </row>
    <row r="104" spans="4:5" ht="15">
      <c r="D104" s="41"/>
      <c r="E104" s="41"/>
    </row>
    <row r="105" spans="4:5" ht="15">
      <c r="D105" s="41"/>
      <c r="E105" s="41"/>
    </row>
    <row r="106" spans="4:5" ht="15">
      <c r="D106" s="41"/>
      <c r="E106" s="41"/>
    </row>
    <row r="107" spans="4:5" ht="15">
      <c r="D107" s="41"/>
      <c r="E107" s="41"/>
    </row>
    <row r="108" spans="4:5" ht="15">
      <c r="D108" s="41"/>
      <c r="E108" s="41"/>
    </row>
    <row r="109" spans="4:5" ht="15">
      <c r="D109" s="41"/>
      <c r="E109" s="41"/>
    </row>
    <row r="110" spans="4:5" ht="15">
      <c r="D110" s="41"/>
      <c r="E110" s="41"/>
    </row>
    <row r="111" spans="4:5" ht="15">
      <c r="D111" s="41"/>
      <c r="E111" s="41"/>
    </row>
    <row r="112" spans="4:5" ht="15">
      <c r="D112" s="41"/>
      <c r="E112" s="41"/>
    </row>
    <row r="113" spans="4:5" ht="15">
      <c r="D113" s="41"/>
      <c r="E113" s="41"/>
    </row>
    <row r="114" spans="4:5" ht="15">
      <c r="D114" s="41"/>
      <c r="E114" s="41"/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14"/>
  <sheetViews>
    <sheetView topLeftCell="A31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2.7103057462227298E-2</v>
      </c>
      <c r="G3" s="21">
        <f>F3/E3</f>
        <v>2.7103057462227298E-2</v>
      </c>
      <c r="H3" s="21">
        <f>G3/G5</f>
        <v>1.1567669524410591</v>
      </c>
      <c r="I3" s="22">
        <f>FINV(0.05,E3,E$5)</f>
        <v>4.1829641621552192</v>
      </c>
      <c r="J3" s="23" t="str">
        <f>IF(H3&gt;K3,"**",IF(H3&gt;I3,"*","NS"))</f>
        <v>NS</v>
      </c>
      <c r="K3" s="22">
        <f>FINV(0.01,E3,E$5)</f>
        <v>7.5976632412849163</v>
      </c>
      <c r="L3" s="13">
        <f>FDIST(H3,E3,E$5)</f>
        <v>0.29100408448811188</v>
      </c>
    </row>
    <row r="4" spans="1:16">
      <c r="B4" s="16" t="s">
        <v>67</v>
      </c>
      <c r="C4" s="24">
        <f>I74</f>
        <v>93.336351761522437</v>
      </c>
      <c r="D4" s="20" t="s">
        <v>3</v>
      </c>
      <c r="E4" s="21">
        <f>C2-1</f>
        <v>29</v>
      </c>
      <c r="F4" s="21">
        <f>(SUMSQ(I13:I73)/C3)-C6</f>
        <v>2.6404132328700882</v>
      </c>
      <c r="G4" s="21">
        <f>F4/E4</f>
        <v>9.1048732167934077E-2</v>
      </c>
      <c r="H4" s="21">
        <f>G4/G5</f>
        <v>3.8859883088949503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2.3412174911027598E-4</v>
      </c>
    </row>
    <row r="5" spans="1:16">
      <c r="B5" s="16" t="s">
        <v>68</v>
      </c>
      <c r="C5" s="24">
        <f>I74/(C2*C3)</f>
        <v>1.5556058626920406</v>
      </c>
      <c r="D5" s="20" t="s">
        <v>69</v>
      </c>
      <c r="E5" s="21">
        <f>E4*E3</f>
        <v>29</v>
      </c>
      <c r="F5" s="21">
        <f>F6-F4-F3</f>
        <v>0.67947019470599912</v>
      </c>
      <c r="G5" s="22">
        <f>F5/E5</f>
        <v>2.343000671399997E-2</v>
      </c>
      <c r="H5" s="21"/>
      <c r="I5" s="21"/>
      <c r="J5" s="23"/>
    </row>
    <row r="6" spans="1:16">
      <c r="B6" s="16" t="s">
        <v>70</v>
      </c>
      <c r="C6" s="24">
        <f>POWER(I74,2)/(C2*C3)</f>
        <v>145.19457600251087</v>
      </c>
      <c r="D6" s="18" t="s">
        <v>71</v>
      </c>
      <c r="E6" s="26">
        <f>C2*C3-1</f>
        <v>59</v>
      </c>
      <c r="F6" s="26">
        <f>SUMSQ(B13:H73)-C6</f>
        <v>3.3469864850383146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0.1530686339979552</v>
      </c>
      <c r="G7" s="31"/>
      <c r="H7" s="31"/>
      <c r="I7" s="31"/>
    </row>
    <row r="8" spans="1:16">
      <c r="D8" s="60" t="s">
        <v>73</v>
      </c>
      <c r="E8" s="60"/>
      <c r="F8" s="32">
        <f>SQRT((G5)/C3)</f>
        <v>0.10823586908691585</v>
      </c>
      <c r="I8" s="33"/>
    </row>
    <row r="9" spans="1:16">
      <c r="D9" s="60" t="s">
        <v>74</v>
      </c>
      <c r="E9" s="60"/>
      <c r="F9" s="32">
        <f>TINV(0.05,E5)*F8*SQRT(2)</f>
        <v>0.31306050278455461</v>
      </c>
      <c r="G9" s="13" t="s">
        <v>75</v>
      </c>
      <c r="H9" s="32">
        <f>TINV(0.01,E5)*F8*SQRT(2)</f>
        <v>0.42191622480537111</v>
      </c>
    </row>
    <row r="10" spans="1:16">
      <c r="D10" s="60" t="s">
        <v>76</v>
      </c>
      <c r="E10" s="60"/>
      <c r="F10" s="32">
        <f>SQRT(G5)/C5*100</f>
        <v>9.8398082489264702</v>
      </c>
    </row>
    <row r="11" spans="1:16">
      <c r="D11" s="23"/>
      <c r="E11" s="34"/>
      <c r="O11" s="35" t="s">
        <v>68</v>
      </c>
      <c r="P11" s="36">
        <f>C5</f>
        <v>1.5556058626920406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0.1530686339979552</v>
      </c>
    </row>
    <row r="13" spans="1:16" ht="15">
      <c r="A13" s="40">
        <v>1</v>
      </c>
      <c r="B13" s="41">
        <v>1.68711095757614</v>
      </c>
      <c r="C13" s="41">
        <v>1.3011288948651658</v>
      </c>
      <c r="D13" s="42"/>
      <c r="E13" s="43"/>
      <c r="F13" s="43"/>
      <c r="G13" s="43"/>
      <c r="H13" s="43"/>
      <c r="I13" s="44">
        <f t="shared" ref="I13:I28" si="0">SUM(B13:H13)</f>
        <v>2.9882398524413061</v>
      </c>
      <c r="J13" s="45">
        <f t="shared" ref="J13:J73" si="1">AVERAGE(B13:H13)</f>
        <v>1.494119926220653</v>
      </c>
      <c r="K13" s="26">
        <f t="shared" ref="K13:K73" si="2">STDEV(B13:D13)/SQRT(C$3)</f>
        <v>0.19299103135548568</v>
      </c>
      <c r="O13" s="38" t="s">
        <v>82</v>
      </c>
      <c r="P13" s="39">
        <f>F7/C5*100</f>
        <v>9.8398082489264702</v>
      </c>
    </row>
    <row r="14" spans="1:16" ht="15">
      <c r="A14" s="40">
        <v>2</v>
      </c>
      <c r="B14" s="41">
        <v>1.4996681985365756</v>
      </c>
      <c r="C14" s="41">
        <v>1.8254243568448913</v>
      </c>
      <c r="D14" s="42"/>
      <c r="E14" s="43"/>
      <c r="F14" s="43"/>
      <c r="G14" s="43"/>
      <c r="H14" s="43"/>
      <c r="I14" s="44">
        <f t="shared" si="0"/>
        <v>3.3250925553814668</v>
      </c>
      <c r="J14" s="45">
        <f t="shared" si="1"/>
        <v>1.6625462776907334</v>
      </c>
      <c r="K14" s="26">
        <f t="shared" si="2"/>
        <v>0.16287807915415889</v>
      </c>
      <c r="O14" s="38" t="s">
        <v>83</v>
      </c>
      <c r="P14" s="39">
        <f>F7/SQRT(C3)</f>
        <v>0.10823586908691583</v>
      </c>
    </row>
    <row r="15" spans="1:16" ht="15">
      <c r="A15" s="40">
        <v>3</v>
      </c>
      <c r="B15" s="41">
        <v>1.8075717255124064</v>
      </c>
      <c r="C15" s="41">
        <v>1.7778688896771599</v>
      </c>
      <c r="D15" s="42"/>
      <c r="E15" s="43"/>
      <c r="F15" s="43"/>
      <c r="G15" s="43"/>
      <c r="H15" s="43"/>
      <c r="I15" s="44">
        <f t="shared" si="0"/>
        <v>3.5854406151895661</v>
      </c>
      <c r="J15" s="45">
        <f t="shared" si="1"/>
        <v>1.7927203075947831</v>
      </c>
      <c r="K15" s="26">
        <f t="shared" si="2"/>
        <v>1.4851417917623233E-2</v>
      </c>
      <c r="O15" s="38" t="s">
        <v>84</v>
      </c>
      <c r="P15" s="39">
        <f>F8*SQRT(2)</f>
        <v>0.15306863399795523</v>
      </c>
    </row>
    <row r="16" spans="1:16" ht="15">
      <c r="A16" s="40">
        <v>4</v>
      </c>
      <c r="B16" s="41">
        <v>1.1988514140132218</v>
      </c>
      <c r="C16" s="41">
        <v>1.6076330199384228</v>
      </c>
      <c r="D16" s="42"/>
      <c r="E16" s="43"/>
      <c r="F16" s="43"/>
      <c r="G16" s="43"/>
      <c r="H16" s="43"/>
      <c r="I16" s="44">
        <f t="shared" si="0"/>
        <v>2.8064844339516446</v>
      </c>
      <c r="J16" s="45">
        <f t="shared" si="1"/>
        <v>1.4032422169758223</v>
      </c>
      <c r="K16" s="26">
        <f t="shared" si="2"/>
        <v>0.20439080296260054</v>
      </c>
      <c r="O16" s="38" t="s">
        <v>85</v>
      </c>
      <c r="P16" s="39">
        <f>TINV(0.05,E5)*F8*SQRT(2)</f>
        <v>0.31306050278455461</v>
      </c>
    </row>
    <row r="17" spans="1:16" ht="15">
      <c r="A17" s="40">
        <v>5</v>
      </c>
      <c r="B17" s="41">
        <v>1.9543513453077281</v>
      </c>
      <c r="C17" s="41">
        <v>1.69352891228908</v>
      </c>
      <c r="D17" s="42"/>
      <c r="E17" s="43"/>
      <c r="F17" s="43"/>
      <c r="G17" s="43"/>
      <c r="H17" s="43"/>
      <c r="I17" s="44">
        <f t="shared" si="0"/>
        <v>3.6478802575968081</v>
      </c>
      <c r="J17" s="45">
        <f t="shared" si="1"/>
        <v>1.8239401287984041</v>
      </c>
      <c r="K17" s="26">
        <f t="shared" si="2"/>
        <v>0.1304112165093245</v>
      </c>
      <c r="O17" s="38" t="s">
        <v>86</v>
      </c>
      <c r="P17" s="39">
        <f>TINV(0.01,E5)*F8*SQRT(2)</f>
        <v>0.42191622480537111</v>
      </c>
    </row>
    <row r="18" spans="1:16" ht="15">
      <c r="A18" s="40">
        <v>6</v>
      </c>
      <c r="B18" s="41">
        <v>1.8366555301147773</v>
      </c>
      <c r="C18" s="41">
        <v>1.9372284705083391</v>
      </c>
      <c r="D18" s="42"/>
      <c r="E18" s="43"/>
      <c r="F18" s="43"/>
      <c r="G18" s="43"/>
      <c r="H18" s="43"/>
      <c r="I18" s="44">
        <f t="shared" si="0"/>
        <v>3.7738840006231165</v>
      </c>
      <c r="J18" s="45">
        <f t="shared" si="1"/>
        <v>1.8869420003115582</v>
      </c>
      <c r="K18" s="26">
        <f t="shared" si="2"/>
        <v>5.0286470196782652E-2</v>
      </c>
      <c r="O18" s="38" t="s">
        <v>87</v>
      </c>
      <c r="P18" s="39">
        <f>(G4-G5)/C3</f>
        <v>3.3809362726967052E-2</v>
      </c>
    </row>
    <row r="19" spans="1:16" ht="15">
      <c r="A19" s="40">
        <v>7</v>
      </c>
      <c r="B19" s="41">
        <v>1.4451420114642923</v>
      </c>
      <c r="C19" s="41">
        <v>1.2652134297313382</v>
      </c>
      <c r="D19" s="42"/>
      <c r="E19" s="43"/>
      <c r="F19" s="43"/>
      <c r="G19" s="43"/>
      <c r="H19" s="43"/>
      <c r="I19" s="44">
        <f t="shared" si="0"/>
        <v>2.7103554411956305</v>
      </c>
      <c r="J19" s="45">
        <f t="shared" si="1"/>
        <v>1.3551777205978153</v>
      </c>
      <c r="K19" s="26">
        <f t="shared" si="2"/>
        <v>8.996429086647699E-2</v>
      </c>
      <c r="O19" s="38" t="s">
        <v>88</v>
      </c>
      <c r="P19" s="39">
        <f>P18+G5</f>
        <v>5.7239369440967025E-2</v>
      </c>
    </row>
    <row r="20" spans="1:16" ht="15">
      <c r="A20" s="40">
        <v>8</v>
      </c>
      <c r="B20" s="41">
        <v>1.3985608063440371</v>
      </c>
      <c r="C20" s="41">
        <v>1.5369695357791717</v>
      </c>
      <c r="D20" s="42"/>
      <c r="E20" s="43"/>
      <c r="F20" s="43"/>
      <c r="G20" s="43"/>
      <c r="H20" s="43"/>
      <c r="I20" s="44">
        <f t="shared" si="0"/>
        <v>2.9355303421232088</v>
      </c>
      <c r="J20" s="45">
        <f t="shared" si="1"/>
        <v>1.4677651710616044</v>
      </c>
      <c r="K20" s="26">
        <f t="shared" si="2"/>
        <v>6.9204364717568662E-2</v>
      </c>
      <c r="O20" s="38" t="s">
        <v>89</v>
      </c>
      <c r="P20" s="39">
        <f>SQRT(P18)</f>
        <v>0.18387322460588723</v>
      </c>
    </row>
    <row r="21" spans="1:16" ht="15">
      <c r="A21" s="40">
        <v>9</v>
      </c>
      <c r="B21" s="41">
        <v>1.2722408938066558</v>
      </c>
      <c r="C21" s="41">
        <v>1.2868073467797385</v>
      </c>
      <c r="D21" s="42"/>
      <c r="E21" s="43"/>
      <c r="F21" s="43"/>
      <c r="G21" s="43"/>
      <c r="H21" s="43"/>
      <c r="I21" s="44">
        <f t="shared" si="0"/>
        <v>2.5590482405863941</v>
      </c>
      <c r="J21" s="45">
        <f t="shared" si="1"/>
        <v>1.2795241202931971</v>
      </c>
      <c r="K21" s="26">
        <f t="shared" si="2"/>
        <v>7.2832264865413388E-3</v>
      </c>
      <c r="O21" s="38" t="s">
        <v>90</v>
      </c>
      <c r="P21" s="39">
        <f>SQRT(P19)</f>
        <v>0.23924750665569541</v>
      </c>
    </row>
    <row r="22" spans="1:16" ht="15">
      <c r="A22" s="40">
        <v>10</v>
      </c>
      <c r="B22" s="41">
        <v>1.456213601427933</v>
      </c>
      <c r="C22" s="41">
        <v>1.5369695357791717</v>
      </c>
      <c r="D22" s="42"/>
      <c r="E22" s="43"/>
      <c r="F22" s="43"/>
      <c r="G22" s="43"/>
      <c r="H22" s="43"/>
      <c r="I22" s="44">
        <f t="shared" si="0"/>
        <v>2.9931831372071045</v>
      </c>
      <c r="J22" s="45">
        <f t="shared" si="1"/>
        <v>1.4965915686035522</v>
      </c>
      <c r="K22" s="26">
        <f t="shared" si="2"/>
        <v>4.0377967175621712E-2</v>
      </c>
      <c r="O22" s="38" t="s">
        <v>91</v>
      </c>
      <c r="P22" s="39">
        <f>G5</f>
        <v>2.343000671399997E-2</v>
      </c>
    </row>
    <row r="23" spans="1:16" ht="15">
      <c r="A23" s="40">
        <v>11</v>
      </c>
      <c r="B23" s="41">
        <v>1.4345395788599631</v>
      </c>
      <c r="C23" s="41">
        <v>1.2851871802569454</v>
      </c>
      <c r="D23" s="42"/>
      <c r="E23" s="43"/>
      <c r="F23" s="43"/>
      <c r="G23" s="43"/>
      <c r="H23" s="43"/>
      <c r="I23" s="44">
        <f t="shared" si="0"/>
        <v>2.7197267591169085</v>
      </c>
      <c r="J23" s="45">
        <f t="shared" si="1"/>
        <v>1.3598633795584543</v>
      </c>
      <c r="K23" s="26">
        <f t="shared" si="2"/>
        <v>7.4676199301508442E-2</v>
      </c>
      <c r="O23" s="38" t="s">
        <v>92</v>
      </c>
      <c r="P23" s="39">
        <f>SQRT(P22)</f>
        <v>0.1530686339979552</v>
      </c>
    </row>
    <row r="24" spans="1:16" ht="15">
      <c r="A24" s="40">
        <v>12</v>
      </c>
      <c r="B24" s="41">
        <v>1.8738970480044399</v>
      </c>
      <c r="C24" s="41">
        <v>1.8919768302536153</v>
      </c>
      <c r="D24" s="42"/>
      <c r="E24" s="43"/>
      <c r="F24" s="43"/>
      <c r="G24" s="43"/>
      <c r="H24" s="43"/>
      <c r="I24" s="44">
        <f t="shared" si="0"/>
        <v>3.7658738782580552</v>
      </c>
      <c r="J24" s="45">
        <f t="shared" si="1"/>
        <v>1.8829369391290276</v>
      </c>
      <c r="K24" s="26">
        <f t="shared" si="2"/>
        <v>9.0398911245876956E-3</v>
      </c>
      <c r="O24" s="38" t="s">
        <v>93</v>
      </c>
      <c r="P24" s="39">
        <f>P20/C5*100</f>
        <v>11.820039318165525</v>
      </c>
    </row>
    <row r="25" spans="1:16" ht="15">
      <c r="A25" s="40">
        <v>13</v>
      </c>
      <c r="B25" s="41">
        <v>1.5999189380173624</v>
      </c>
      <c r="C25" s="41">
        <v>1.5682998881908314</v>
      </c>
      <c r="D25" s="42"/>
      <c r="E25" s="43"/>
      <c r="F25" s="43"/>
      <c r="G25" s="43"/>
      <c r="H25" s="43"/>
      <c r="I25" s="44">
        <f t="shared" si="0"/>
        <v>3.1682188262081938</v>
      </c>
      <c r="J25" s="45">
        <f t="shared" si="1"/>
        <v>1.5841094131040969</v>
      </c>
      <c r="K25" s="26">
        <f t="shared" si="2"/>
        <v>1.5809524913265482E-2</v>
      </c>
      <c r="O25" s="38" t="s">
        <v>94</v>
      </c>
      <c r="P25" s="39">
        <f>P21/C5*100</f>
        <v>15.379699472311556</v>
      </c>
    </row>
    <row r="26" spans="1:16" ht="15">
      <c r="A26" s="40">
        <v>14</v>
      </c>
      <c r="B26" s="41">
        <v>1.1881174683293847</v>
      </c>
      <c r="C26" s="41">
        <v>1.4365024858770297</v>
      </c>
      <c r="D26" s="42"/>
      <c r="E26" s="43"/>
      <c r="F26" s="43"/>
      <c r="G26" s="43"/>
      <c r="H26" s="43"/>
      <c r="I26" s="44">
        <f t="shared" si="0"/>
        <v>2.6246199542064144</v>
      </c>
      <c r="J26" s="45">
        <f t="shared" si="1"/>
        <v>1.3123099771032072</v>
      </c>
      <c r="K26" s="26">
        <f t="shared" si="2"/>
        <v>0.12419250877382282</v>
      </c>
      <c r="O26" s="38" t="s">
        <v>95</v>
      </c>
      <c r="P26" s="39">
        <f>P23/C5*100</f>
        <v>9.8398082489264702</v>
      </c>
    </row>
    <row r="27" spans="1:16" ht="15">
      <c r="A27" s="40">
        <v>15</v>
      </c>
      <c r="B27" s="41">
        <v>1.38878618524927</v>
      </c>
      <c r="C27" s="41">
        <v>1.6076330199384228</v>
      </c>
      <c r="D27" s="42"/>
      <c r="E27" s="43"/>
      <c r="F27" s="43"/>
      <c r="G27" s="43"/>
      <c r="H27" s="43"/>
      <c r="I27" s="44">
        <f t="shared" si="0"/>
        <v>2.996419205187693</v>
      </c>
      <c r="J27" s="45">
        <f t="shared" si="1"/>
        <v>1.4982096025938465</v>
      </c>
      <c r="K27" s="26">
        <f t="shared" si="2"/>
        <v>0.1094234173445737</v>
      </c>
      <c r="O27" s="38" t="s">
        <v>96</v>
      </c>
      <c r="P27" s="39">
        <f>P18/P19*100</f>
        <v>59.06662329995762</v>
      </c>
    </row>
    <row r="28" spans="1:16" ht="15">
      <c r="A28" s="40">
        <v>16</v>
      </c>
      <c r="B28" s="41">
        <v>1.1721534737569859</v>
      </c>
      <c r="C28" s="41">
        <v>1.4350307626922401</v>
      </c>
      <c r="D28" s="42"/>
      <c r="E28" s="43"/>
      <c r="F28" s="43"/>
      <c r="G28" s="43"/>
      <c r="H28" s="43"/>
      <c r="I28" s="44">
        <f t="shared" si="0"/>
        <v>2.6071842364492257</v>
      </c>
      <c r="J28" s="45">
        <f t="shared" si="1"/>
        <v>1.3035921182246129</v>
      </c>
      <c r="K28" s="26">
        <f t="shared" si="2"/>
        <v>0.13143864446762801</v>
      </c>
      <c r="O28" s="38" t="s">
        <v>97</v>
      </c>
      <c r="P28" s="39">
        <f>P18/P21*2.06</f>
        <v>0.29110977243237296</v>
      </c>
    </row>
    <row r="29" spans="1:16" ht="15">
      <c r="A29" s="40">
        <v>17</v>
      </c>
      <c r="B29" s="41">
        <v>1.8854935343746788</v>
      </c>
      <c r="C29" s="41">
        <v>1.5625092686212358</v>
      </c>
      <c r="D29" s="42"/>
      <c r="E29" s="43"/>
      <c r="F29" s="43"/>
      <c r="G29" s="43"/>
      <c r="H29" s="43"/>
      <c r="I29" s="44">
        <f t="shared" ref="I29:I44" si="3">SUM(B29:H29)</f>
        <v>3.4480028029959149</v>
      </c>
      <c r="J29" s="45">
        <f t="shared" si="1"/>
        <v>1.7240014014979574</v>
      </c>
      <c r="K29" s="26">
        <f t="shared" si="2"/>
        <v>0.16149213287672159</v>
      </c>
      <c r="O29" s="47" t="s">
        <v>98</v>
      </c>
      <c r="P29" s="48">
        <f>P28/C5*100</f>
        <v>18.713594453070225</v>
      </c>
    </row>
    <row r="30" spans="1:16" ht="15">
      <c r="A30" s="40">
        <v>18</v>
      </c>
      <c r="B30" s="41">
        <v>1.65112019192007</v>
      </c>
      <c r="C30" s="41">
        <v>1.6826289695022385</v>
      </c>
      <c r="D30" s="42"/>
      <c r="E30" s="43"/>
      <c r="F30" s="43"/>
      <c r="G30" s="43"/>
      <c r="H30" s="43"/>
      <c r="I30" s="44">
        <f t="shared" si="3"/>
        <v>3.3337491614223085</v>
      </c>
      <c r="J30" s="45">
        <f t="shared" si="1"/>
        <v>1.6668745807111542</v>
      </c>
      <c r="K30" s="26">
        <f t="shared" si="2"/>
        <v>1.5754388791084262E-2</v>
      </c>
    </row>
    <row r="31" spans="1:16" ht="15">
      <c r="A31" s="40">
        <v>19</v>
      </c>
      <c r="B31" s="41">
        <v>1.6112705554652922</v>
      </c>
      <c r="C31" s="41">
        <v>1.8134036679021559</v>
      </c>
      <c r="D31" s="42"/>
      <c r="E31" s="43"/>
      <c r="F31" s="43"/>
      <c r="G31" s="43"/>
      <c r="H31" s="43"/>
      <c r="I31" s="44">
        <f t="shared" si="3"/>
        <v>3.4246742233674481</v>
      </c>
      <c r="J31" s="45">
        <f t="shared" si="1"/>
        <v>1.712337111683724</v>
      </c>
      <c r="K31" s="26">
        <f t="shared" si="2"/>
        <v>0.10106655621843119</v>
      </c>
    </row>
    <row r="32" spans="1:16" ht="15">
      <c r="A32" s="40">
        <v>20</v>
      </c>
      <c r="B32" s="41">
        <v>1.6485186731917476</v>
      </c>
      <c r="C32" s="41">
        <v>1.4804343001262483</v>
      </c>
      <c r="D32" s="42"/>
      <c r="E32" s="43"/>
      <c r="F32" s="43"/>
      <c r="G32" s="43"/>
      <c r="H32" s="43"/>
      <c r="I32" s="44">
        <f t="shared" si="3"/>
        <v>3.1289529733179959</v>
      </c>
      <c r="J32" s="45">
        <f t="shared" si="1"/>
        <v>1.564476486658998</v>
      </c>
      <c r="K32" s="26">
        <f t="shared" si="2"/>
        <v>8.4042186532750654E-2</v>
      </c>
    </row>
    <row r="33" spans="1:11" ht="15">
      <c r="A33" s="40">
        <v>21</v>
      </c>
      <c r="B33" s="41">
        <v>1.8326116607155676</v>
      </c>
      <c r="C33" s="41">
        <v>1.9346943178207201</v>
      </c>
      <c r="D33" s="42"/>
      <c r="E33" s="43"/>
      <c r="F33" s="43"/>
      <c r="G33" s="43"/>
      <c r="H33" s="43"/>
      <c r="I33" s="44">
        <f t="shared" si="3"/>
        <v>3.7673059785362879</v>
      </c>
      <c r="J33" s="45">
        <f t="shared" si="1"/>
        <v>1.883652989268144</v>
      </c>
      <c r="K33" s="26">
        <f t="shared" si="2"/>
        <v>5.104132855257007E-2</v>
      </c>
    </row>
    <row r="34" spans="1:11" ht="15">
      <c r="A34" s="40">
        <v>22</v>
      </c>
      <c r="B34" s="41">
        <v>1.2860596682448462</v>
      </c>
      <c r="C34" s="41">
        <v>1.0530479736525276</v>
      </c>
      <c r="D34" s="42"/>
      <c r="E34" s="43"/>
      <c r="F34" s="43"/>
      <c r="G34" s="43"/>
      <c r="H34" s="43"/>
      <c r="I34" s="44">
        <f t="shared" si="3"/>
        <v>2.3391076418973737</v>
      </c>
      <c r="J34" s="45">
        <f t="shared" si="1"/>
        <v>1.1695538209486869</v>
      </c>
      <c r="K34" s="26">
        <f t="shared" si="2"/>
        <v>0.1165058472961597</v>
      </c>
    </row>
    <row r="35" spans="1:11" ht="15">
      <c r="A35" s="40">
        <v>23</v>
      </c>
      <c r="B35" s="41">
        <v>1.5761740918872662</v>
      </c>
      <c r="C35" s="41">
        <v>1.1793867792612109</v>
      </c>
      <c r="D35" s="42"/>
      <c r="E35" s="43"/>
      <c r="F35" s="43"/>
      <c r="G35" s="43"/>
      <c r="H35" s="43"/>
      <c r="I35" s="44">
        <f t="shared" si="3"/>
        <v>2.7555608711484769</v>
      </c>
      <c r="J35" s="45">
        <f t="shared" si="1"/>
        <v>1.3777804355742385</v>
      </c>
      <c r="K35" s="26">
        <f t="shared" si="2"/>
        <v>0.19839365631302849</v>
      </c>
    </row>
    <row r="36" spans="1:11" ht="15">
      <c r="A36" s="40">
        <v>24</v>
      </c>
      <c r="B36" s="41">
        <v>1.498037045404947</v>
      </c>
      <c r="C36" s="41">
        <v>1.6833020044705669</v>
      </c>
      <c r="D36" s="42"/>
      <c r="E36" s="43"/>
      <c r="F36" s="43"/>
      <c r="G36" s="43"/>
      <c r="H36" s="43"/>
      <c r="I36" s="44">
        <f t="shared" si="3"/>
        <v>3.1813390498755139</v>
      </c>
      <c r="J36" s="45">
        <f t="shared" si="1"/>
        <v>1.5906695249377569</v>
      </c>
      <c r="K36" s="26">
        <f t="shared" si="2"/>
        <v>9.2632479532810577E-2</v>
      </c>
    </row>
    <row r="37" spans="1:11" ht="15">
      <c r="A37" s="40">
        <v>25</v>
      </c>
      <c r="B37" s="41">
        <v>1.1887861852492683</v>
      </c>
      <c r="C37" s="41">
        <v>1.3267341552027028</v>
      </c>
      <c r="D37" s="49"/>
      <c r="E37" s="43"/>
      <c r="F37" s="43"/>
      <c r="G37" s="43"/>
      <c r="H37" s="43"/>
      <c r="I37" s="44">
        <f t="shared" si="3"/>
        <v>2.515520340451971</v>
      </c>
      <c r="J37" s="45">
        <f t="shared" si="1"/>
        <v>1.2577601702259855</v>
      </c>
      <c r="K37" s="26">
        <f t="shared" si="2"/>
        <v>6.8973984976718583E-2</v>
      </c>
    </row>
    <row r="38" spans="1:11" ht="15">
      <c r="A38" s="40">
        <v>26</v>
      </c>
      <c r="B38" s="41">
        <v>1.6860596682448501</v>
      </c>
      <c r="C38" s="41">
        <v>1.8047045080848363</v>
      </c>
      <c r="D38" s="49"/>
      <c r="E38" s="43"/>
      <c r="F38" s="43"/>
      <c r="G38" s="43"/>
      <c r="H38" s="43"/>
      <c r="I38" s="44">
        <f t="shared" si="3"/>
        <v>3.4907641763296864</v>
      </c>
      <c r="J38" s="45">
        <f t="shared" si="1"/>
        <v>1.7453820881648432</v>
      </c>
      <c r="K38" s="26">
        <f t="shared" si="2"/>
        <v>5.9322419919993791E-2</v>
      </c>
    </row>
    <row r="39" spans="1:11" ht="15">
      <c r="A39" s="40">
        <v>27</v>
      </c>
      <c r="B39" s="41">
        <v>1.1459037887835686</v>
      </c>
      <c r="C39" s="41">
        <v>1.405219484845194</v>
      </c>
      <c r="D39" s="49"/>
      <c r="E39" s="43"/>
      <c r="F39" s="43"/>
      <c r="G39" s="43"/>
      <c r="H39" s="43"/>
      <c r="I39" s="44">
        <f t="shared" si="3"/>
        <v>2.5511232736287628</v>
      </c>
      <c r="J39" s="45">
        <f t="shared" si="1"/>
        <v>1.2755616368143814</v>
      </c>
      <c r="K39" s="26">
        <f t="shared" si="2"/>
        <v>0.12965784803081168</v>
      </c>
    </row>
    <row r="40" spans="1:11" ht="15">
      <c r="A40" s="40">
        <v>28</v>
      </c>
      <c r="B40" s="41">
        <v>1.7149808914042648</v>
      </c>
      <c r="C40" s="41">
        <v>1.8346322879885559</v>
      </c>
      <c r="D40" s="49"/>
      <c r="E40" s="43"/>
      <c r="F40" s="43"/>
      <c r="G40" s="43"/>
      <c r="H40" s="43"/>
      <c r="I40" s="44">
        <f t="shared" si="3"/>
        <v>3.5496131793928205</v>
      </c>
      <c r="J40" s="45">
        <f t="shared" si="1"/>
        <v>1.7748065896964103</v>
      </c>
      <c r="K40" s="26">
        <f t="shared" si="2"/>
        <v>5.9825698292150564E-2</v>
      </c>
    </row>
    <row r="41" spans="1:11" ht="15">
      <c r="A41" s="40">
        <v>29</v>
      </c>
      <c r="B41" s="41">
        <v>1.4574045067551737</v>
      </c>
      <c r="C41" s="41">
        <v>1.6873524283893062</v>
      </c>
      <c r="D41" s="49"/>
      <c r="E41" s="43"/>
      <c r="F41" s="43"/>
      <c r="G41" s="43"/>
      <c r="H41" s="43"/>
      <c r="I41" s="44">
        <f t="shared" si="3"/>
        <v>3.1447569351444802</v>
      </c>
      <c r="J41" s="45">
        <f t="shared" si="1"/>
        <v>1.5723784675722401</v>
      </c>
      <c r="K41" s="26">
        <f t="shared" si="2"/>
        <v>0.11497396081706529</v>
      </c>
    </row>
    <row r="42" spans="1:11" ht="15">
      <c r="A42" s="40">
        <v>30</v>
      </c>
      <c r="B42" s="41">
        <v>1.634366752644965</v>
      </c>
      <c r="C42" s="41">
        <v>1.8643326656456716</v>
      </c>
      <c r="D42" s="49"/>
      <c r="E42" s="43"/>
      <c r="F42" s="43"/>
      <c r="G42" s="43"/>
      <c r="H42" s="43"/>
      <c r="I42" s="44">
        <f t="shared" si="3"/>
        <v>3.4986994182906366</v>
      </c>
      <c r="J42" s="45">
        <f t="shared" si="1"/>
        <v>1.7493497091453183</v>
      </c>
      <c r="K42" s="26">
        <f t="shared" si="2"/>
        <v>0.1149829565003542</v>
      </c>
    </row>
    <row r="43" spans="1:11" ht="15">
      <c r="A43" s="40">
        <v>31</v>
      </c>
      <c r="B43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46.030566390607696</v>
      </c>
      <c r="C74" s="51">
        <f>SUM(C13:C73)</f>
        <v>47.305785370914727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93.336351761522437</v>
      </c>
      <c r="J74" s="32"/>
    </row>
    <row r="75" spans="1:11">
      <c r="B75" s="25">
        <f>AVERAGE(B13:B28)</f>
        <v>1.5133611985200734</v>
      </c>
      <c r="C75" s="25">
        <f>AVERAGE(C13:C28)</f>
        <v>1.5620876599625975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14"/>
  <sheetViews>
    <sheetView topLeftCell="A37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2.017144955891581</v>
      </c>
      <c r="G3" s="21">
        <f>F3/E3</f>
        <v>2.017144955891581</v>
      </c>
      <c r="H3" s="21">
        <f>G3/G5</f>
        <v>16.556439197177809</v>
      </c>
      <c r="I3" s="22">
        <f>FINV(0.05,E3,E$5)</f>
        <v>4.1829641621552192</v>
      </c>
      <c r="J3" s="23" t="str">
        <f>IF(H3&gt;K3,"**",IF(H3&gt;I3,"*","NS"))</f>
        <v>**</v>
      </c>
      <c r="K3" s="22">
        <f>FINV(0.01,E3,E$5)</f>
        <v>7.5976632412849163</v>
      </c>
      <c r="L3" s="13">
        <f>FDIST(H3,E3,E$5)</f>
        <v>3.3164180854859231E-4</v>
      </c>
    </row>
    <row r="4" spans="1:16">
      <c r="B4" s="16" t="s">
        <v>67</v>
      </c>
      <c r="C4" s="24">
        <f>I74</f>
        <v>185.59869565217389</v>
      </c>
      <c r="D4" s="20" t="s">
        <v>3</v>
      </c>
      <c r="E4" s="21">
        <f>C2-1</f>
        <v>29</v>
      </c>
      <c r="F4" s="21">
        <f>(SUMSQ(I13:I73)/C3)-C6</f>
        <v>64.774505800251973</v>
      </c>
      <c r="G4" s="21">
        <f>F4/E4</f>
        <v>2.2336036482845509</v>
      </c>
      <c r="H4" s="21">
        <f>G4/G5</f>
        <v>18.333101389370526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4.509004673924564E-12</v>
      </c>
    </row>
    <row r="5" spans="1:16">
      <c r="B5" s="16" t="s">
        <v>68</v>
      </c>
      <c r="C5" s="24">
        <f>I74/(C2*C3)</f>
        <v>3.0933115942028979</v>
      </c>
      <c r="D5" s="20" t="s">
        <v>69</v>
      </c>
      <c r="E5" s="21">
        <f>E4*E3</f>
        <v>29</v>
      </c>
      <c r="F5" s="21">
        <f>F6-F4-F3</f>
        <v>3.5331995620668977</v>
      </c>
      <c r="G5" s="22">
        <f>F5/E5</f>
        <v>0.12183446765747923</v>
      </c>
      <c r="H5" s="21"/>
      <c r="I5" s="21"/>
      <c r="J5" s="23"/>
    </row>
    <row r="6" spans="1:16">
      <c r="B6" s="16" t="s">
        <v>70</v>
      </c>
      <c r="C6" s="24">
        <f>POWER(I74,2)/(C2*C3)</f>
        <v>574.11459712980457</v>
      </c>
      <c r="D6" s="18" t="s">
        <v>71</v>
      </c>
      <c r="E6" s="26">
        <f>C2*C3-1</f>
        <v>59</v>
      </c>
      <c r="F6" s="26">
        <f>SUMSQ(B13:H73)-C6</f>
        <v>70.324850318210451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0.3490479446401013</v>
      </c>
      <c r="G7" s="31"/>
      <c r="H7" s="31"/>
      <c r="I7" s="31"/>
    </row>
    <row r="8" spans="1:16">
      <c r="D8" s="60" t="s">
        <v>73</v>
      </c>
      <c r="E8" s="60"/>
      <c r="F8" s="32">
        <f>SQRT((G5)/C3)</f>
        <v>0.24681416861424227</v>
      </c>
      <c r="I8" s="33"/>
    </row>
    <row r="9" spans="1:16">
      <c r="D9" s="60" t="s">
        <v>74</v>
      </c>
      <c r="E9" s="60"/>
      <c r="F9" s="32">
        <f>TINV(0.05,E5)*F8*SQRT(2)</f>
        <v>0.71388319207451234</v>
      </c>
      <c r="G9" s="13" t="s">
        <v>75</v>
      </c>
      <c r="H9" s="32">
        <f>TINV(0.01,E5)*F8*SQRT(2)</f>
        <v>0.96211083376227824</v>
      </c>
    </row>
    <row r="10" spans="1:16">
      <c r="D10" s="60" t="s">
        <v>76</v>
      </c>
      <c r="E10" s="60"/>
      <c r="F10" s="32">
        <f>SQRT(G5)/C5*100</f>
        <v>11.283956821363997</v>
      </c>
    </row>
    <row r="11" spans="1:16">
      <c r="D11" s="23"/>
      <c r="E11" s="34"/>
      <c r="O11" s="35" t="s">
        <v>68</v>
      </c>
      <c r="P11" s="36">
        <f>C5</f>
        <v>3.0933115942028979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0.3490479446401013</v>
      </c>
    </row>
    <row r="13" spans="1:16" ht="15">
      <c r="A13" s="40">
        <v>1</v>
      </c>
      <c r="B13" s="41">
        <v>3.6895652173913045</v>
      </c>
      <c r="C13" s="41">
        <v>2.8</v>
      </c>
      <c r="D13" s="42"/>
      <c r="E13" s="43"/>
      <c r="F13" s="43"/>
      <c r="G13" s="43"/>
      <c r="H13" s="43"/>
      <c r="I13" s="44">
        <f t="shared" ref="I13:I28" si="0">SUM(B13:H13)</f>
        <v>6.4895652173913039</v>
      </c>
      <c r="J13" s="45">
        <f t="shared" ref="J13:J73" si="1">AVERAGE(B13:H13)</f>
        <v>3.2447826086956519</v>
      </c>
      <c r="K13" s="26">
        <f t="shared" ref="K13:K73" si="2">STDEV(B13:D13)/SQRT(C$3)</f>
        <v>0.44478260869565439</v>
      </c>
      <c r="O13" s="38" t="s">
        <v>82</v>
      </c>
      <c r="P13" s="39">
        <f>F7/C5*100</f>
        <v>11.283956821363997</v>
      </c>
    </row>
    <row r="14" spans="1:16" ht="15">
      <c r="A14" s="40">
        <v>2</v>
      </c>
      <c r="B14" s="41">
        <v>3.8230434782608698</v>
      </c>
      <c r="C14" s="41">
        <v>3.4</v>
      </c>
      <c r="D14" s="42"/>
      <c r="E14" s="43"/>
      <c r="F14" s="43"/>
      <c r="G14" s="43"/>
      <c r="H14" s="43"/>
      <c r="I14" s="44">
        <f t="shared" si="0"/>
        <v>7.2230434782608697</v>
      </c>
      <c r="J14" s="45">
        <f t="shared" si="1"/>
        <v>3.6115217391304348</v>
      </c>
      <c r="K14" s="26">
        <f t="shared" si="2"/>
        <v>0.21152173913043532</v>
      </c>
      <c r="O14" s="38" t="s">
        <v>83</v>
      </c>
      <c r="P14" s="39">
        <f>F7/SQRT(C3)</f>
        <v>0.24681416861424224</v>
      </c>
    </row>
    <row r="15" spans="1:16" ht="15">
      <c r="A15" s="40">
        <v>3</v>
      </c>
      <c r="B15" s="41">
        <v>3.2082608695652177</v>
      </c>
      <c r="C15" s="41">
        <v>3.41</v>
      </c>
      <c r="D15" s="42"/>
      <c r="E15" s="43"/>
      <c r="F15" s="43"/>
      <c r="G15" s="43"/>
      <c r="H15" s="43"/>
      <c r="I15" s="44">
        <f t="shared" si="0"/>
        <v>6.6182608695652174</v>
      </c>
      <c r="J15" s="45">
        <f t="shared" si="1"/>
        <v>3.3091304347826087</v>
      </c>
      <c r="K15" s="26">
        <f t="shared" si="2"/>
        <v>0.10086956521740144</v>
      </c>
      <c r="O15" s="38" t="s">
        <v>84</v>
      </c>
      <c r="P15" s="39">
        <f>F8*SQRT(2)</f>
        <v>0.3490479446401013</v>
      </c>
    </row>
    <row r="16" spans="1:16" ht="15">
      <c r="A16" s="40">
        <v>4</v>
      </c>
      <c r="B16" s="41">
        <v>3.9800000000000004</v>
      </c>
      <c r="C16" s="41">
        <v>3.1</v>
      </c>
      <c r="D16" s="42"/>
      <c r="E16" s="43"/>
      <c r="F16" s="43"/>
      <c r="G16" s="43"/>
      <c r="H16" s="43"/>
      <c r="I16" s="44">
        <f t="shared" si="0"/>
        <v>7.08</v>
      </c>
      <c r="J16" s="45">
        <f t="shared" si="1"/>
        <v>3.54</v>
      </c>
      <c r="K16" s="26">
        <f t="shared" si="2"/>
        <v>0.44000000000000195</v>
      </c>
      <c r="O16" s="38" t="s">
        <v>85</v>
      </c>
      <c r="P16" s="39">
        <f>TINV(0.05,E5)*F8*SQRT(2)</f>
        <v>0.71388319207451234</v>
      </c>
    </row>
    <row r="17" spans="1:16" ht="15">
      <c r="A17" s="40">
        <v>5</v>
      </c>
      <c r="B17" s="41">
        <v>2.9034782608695653</v>
      </c>
      <c r="C17" s="41">
        <v>2.77</v>
      </c>
      <c r="D17" s="42"/>
      <c r="E17" s="43"/>
      <c r="F17" s="43"/>
      <c r="G17" s="43"/>
      <c r="H17" s="43"/>
      <c r="I17" s="44">
        <f t="shared" si="0"/>
        <v>5.6734782608695653</v>
      </c>
      <c r="J17" s="45">
        <f t="shared" si="1"/>
        <v>2.8367391304347827</v>
      </c>
      <c r="K17" s="26">
        <f t="shared" si="2"/>
        <v>6.6739130434792446E-2</v>
      </c>
      <c r="O17" s="38" t="s">
        <v>86</v>
      </c>
      <c r="P17" s="39">
        <f>TINV(0.01,E5)*F8*SQRT(2)</f>
        <v>0.96211083376227824</v>
      </c>
    </row>
    <row r="18" spans="1:16" ht="15">
      <c r="A18" s="40">
        <v>6</v>
      </c>
      <c r="B18" s="41">
        <v>4.2169565217391298</v>
      </c>
      <c r="C18" s="41">
        <v>3</v>
      </c>
      <c r="D18" s="42"/>
      <c r="E18" s="43"/>
      <c r="F18" s="43"/>
      <c r="G18" s="43"/>
      <c r="H18" s="43"/>
      <c r="I18" s="44">
        <f t="shared" si="0"/>
        <v>7.2169565217391298</v>
      </c>
      <c r="J18" s="45">
        <f t="shared" si="1"/>
        <v>3.6084782608695649</v>
      </c>
      <c r="K18" s="26">
        <f t="shared" si="2"/>
        <v>0.60847826086956502</v>
      </c>
      <c r="O18" s="38" t="s">
        <v>87</v>
      </c>
      <c r="P18" s="39">
        <f>(G4-G5)/C3</f>
        <v>1.0558845903135359</v>
      </c>
    </row>
    <row r="19" spans="1:16" ht="15">
      <c r="A19" s="40">
        <v>7</v>
      </c>
      <c r="B19" s="41">
        <v>2.6682608695652172</v>
      </c>
      <c r="C19" s="41">
        <v>2</v>
      </c>
      <c r="D19" s="42"/>
      <c r="E19" s="43"/>
      <c r="F19" s="43"/>
      <c r="G19" s="43"/>
      <c r="H19" s="43"/>
      <c r="I19" s="44">
        <f t="shared" si="0"/>
        <v>4.6682608695652172</v>
      </c>
      <c r="J19" s="45">
        <f t="shared" si="1"/>
        <v>2.3341304347826086</v>
      </c>
      <c r="K19" s="26">
        <f t="shared" si="2"/>
        <v>0.33413043478260795</v>
      </c>
      <c r="O19" s="38" t="s">
        <v>88</v>
      </c>
      <c r="P19" s="39">
        <f>P18+G5</f>
        <v>1.1777190579710151</v>
      </c>
    </row>
    <row r="20" spans="1:16" ht="15">
      <c r="A20" s="40">
        <v>8</v>
      </c>
      <c r="B20" s="41">
        <v>1.2</v>
      </c>
      <c r="C20" s="41">
        <v>0.83</v>
      </c>
      <c r="D20" s="42"/>
      <c r="E20" s="43"/>
      <c r="F20" s="43"/>
      <c r="G20" s="43"/>
      <c r="H20" s="43"/>
      <c r="I20" s="44">
        <f t="shared" si="0"/>
        <v>2.0299999999999998</v>
      </c>
      <c r="J20" s="45">
        <f t="shared" si="1"/>
        <v>1.0149999999999999</v>
      </c>
      <c r="K20" s="26">
        <f t="shared" si="2"/>
        <v>0.18500000000000047</v>
      </c>
      <c r="O20" s="38" t="s">
        <v>89</v>
      </c>
      <c r="P20" s="39">
        <f>SQRT(P18)</f>
        <v>1.0275624508094561</v>
      </c>
    </row>
    <row r="21" spans="1:16" ht="15">
      <c r="A21" s="40">
        <v>9</v>
      </c>
      <c r="B21" s="41">
        <v>3.3147826086956518</v>
      </c>
      <c r="C21" s="41">
        <v>2.23</v>
      </c>
      <c r="D21" s="42"/>
      <c r="E21" s="43"/>
      <c r="F21" s="43"/>
      <c r="G21" s="43"/>
      <c r="H21" s="43"/>
      <c r="I21" s="44">
        <f t="shared" si="0"/>
        <v>5.5447826086956518</v>
      </c>
      <c r="J21" s="45">
        <f t="shared" si="1"/>
        <v>2.7723913043478259</v>
      </c>
      <c r="K21" s="26">
        <f t="shared" si="2"/>
        <v>0.54239130434782568</v>
      </c>
      <c r="O21" s="38" t="s">
        <v>90</v>
      </c>
      <c r="P21" s="39">
        <f>SQRT(P19)</f>
        <v>1.0852276526015245</v>
      </c>
    </row>
    <row r="22" spans="1:16" ht="15">
      <c r="A22" s="40">
        <v>10</v>
      </c>
      <c r="B22" s="41">
        <v>3.3130434782608695</v>
      </c>
      <c r="C22" s="41">
        <v>2.8</v>
      </c>
      <c r="D22" s="42"/>
      <c r="E22" s="43"/>
      <c r="F22" s="43"/>
      <c r="G22" s="43"/>
      <c r="H22" s="43"/>
      <c r="I22" s="44">
        <f t="shared" si="0"/>
        <v>6.1130434782608694</v>
      </c>
      <c r="J22" s="45">
        <f t="shared" si="1"/>
        <v>3.0565217391304347</v>
      </c>
      <c r="K22" s="26">
        <f t="shared" si="2"/>
        <v>0.25652173913043264</v>
      </c>
      <c r="O22" s="38" t="s">
        <v>91</v>
      </c>
      <c r="P22" s="39">
        <f>G5</f>
        <v>0.12183446765747923</v>
      </c>
    </row>
    <row r="23" spans="1:16" ht="15">
      <c r="A23" s="40">
        <v>11</v>
      </c>
      <c r="B23" s="41">
        <v>3.4091304347826084</v>
      </c>
      <c r="C23" s="41">
        <v>2.9</v>
      </c>
      <c r="D23" s="42"/>
      <c r="E23" s="43"/>
      <c r="F23" s="43"/>
      <c r="G23" s="43"/>
      <c r="H23" s="43"/>
      <c r="I23" s="44">
        <f t="shared" si="0"/>
        <v>6.3091304347826078</v>
      </c>
      <c r="J23" s="45">
        <f t="shared" si="1"/>
        <v>3.1545652173913039</v>
      </c>
      <c r="K23" s="26">
        <f t="shared" si="2"/>
        <v>0.25456521739130977</v>
      </c>
      <c r="O23" s="38" t="s">
        <v>92</v>
      </c>
      <c r="P23" s="39">
        <f>SQRT(P22)</f>
        <v>0.3490479446401013</v>
      </c>
    </row>
    <row r="24" spans="1:16" ht="15">
      <c r="A24" s="40">
        <v>12</v>
      </c>
      <c r="B24" s="41">
        <v>1.8608695652173912</v>
      </c>
      <c r="C24" s="41">
        <v>1.9</v>
      </c>
      <c r="D24" s="42"/>
      <c r="E24" s="43"/>
      <c r="F24" s="43"/>
      <c r="G24" s="43"/>
      <c r="H24" s="43"/>
      <c r="I24" s="44">
        <f t="shared" si="0"/>
        <v>3.7608695652173911</v>
      </c>
      <c r="J24" s="45">
        <f t="shared" si="1"/>
        <v>1.8804347826086956</v>
      </c>
      <c r="K24" s="26">
        <f t="shared" si="2"/>
        <v>1.9565217391304346E-2</v>
      </c>
      <c r="O24" s="38" t="s">
        <v>93</v>
      </c>
      <c r="P24" s="39">
        <f>P20/C5*100</f>
        <v>33.218847164805076</v>
      </c>
    </row>
    <row r="25" spans="1:16" ht="15">
      <c r="A25" s="40">
        <v>13</v>
      </c>
      <c r="B25" s="41">
        <v>2.586086956521739</v>
      </c>
      <c r="C25" s="41">
        <v>2.2000000000000002</v>
      </c>
      <c r="D25" s="42"/>
      <c r="E25" s="43"/>
      <c r="F25" s="43"/>
      <c r="G25" s="43"/>
      <c r="H25" s="43"/>
      <c r="I25" s="44">
        <f t="shared" si="0"/>
        <v>4.7860869565217392</v>
      </c>
      <c r="J25" s="45">
        <f t="shared" si="1"/>
        <v>2.3930434782608696</v>
      </c>
      <c r="K25" s="26">
        <f t="shared" si="2"/>
        <v>0.19304347826086926</v>
      </c>
      <c r="O25" s="38" t="s">
        <v>94</v>
      </c>
      <c r="P25" s="39">
        <f>P21/C5*100</f>
        <v>35.083037047910857</v>
      </c>
    </row>
    <row r="26" spans="1:16" ht="15">
      <c r="A26" s="40">
        <v>14</v>
      </c>
      <c r="B26" s="41">
        <v>2.9630434782608699</v>
      </c>
      <c r="C26" s="41">
        <v>2.87</v>
      </c>
      <c r="D26" s="42"/>
      <c r="E26" s="43"/>
      <c r="F26" s="43"/>
      <c r="G26" s="43"/>
      <c r="H26" s="43"/>
      <c r="I26" s="44">
        <f t="shared" si="0"/>
        <v>5.83304347826087</v>
      </c>
      <c r="J26" s="45">
        <f t="shared" si="1"/>
        <v>2.916521739130435</v>
      </c>
      <c r="K26" s="26">
        <f t="shared" si="2"/>
        <v>4.6521739130416802E-2</v>
      </c>
      <c r="O26" s="38" t="s">
        <v>95</v>
      </c>
      <c r="P26" s="39">
        <f>P23/C5*100</f>
        <v>11.283956821363997</v>
      </c>
    </row>
    <row r="27" spans="1:16" ht="15">
      <c r="A27" s="40">
        <v>15</v>
      </c>
      <c r="B27" s="41">
        <v>2.3304347826086955</v>
      </c>
      <c r="C27" s="41">
        <v>2.2000000000000002</v>
      </c>
      <c r="D27" s="42"/>
      <c r="E27" s="43"/>
      <c r="F27" s="43"/>
      <c r="G27" s="43"/>
      <c r="H27" s="43"/>
      <c r="I27" s="44">
        <f t="shared" si="0"/>
        <v>4.5304347826086957</v>
      </c>
      <c r="J27" s="45">
        <f t="shared" si="1"/>
        <v>2.2652173913043478</v>
      </c>
      <c r="K27" s="26">
        <f t="shared" si="2"/>
        <v>6.5217391304346853E-2</v>
      </c>
      <c r="O27" s="38" t="s">
        <v>96</v>
      </c>
      <c r="P27" s="39">
        <f>P18/P19*100</f>
        <v>89.655048304357337</v>
      </c>
    </row>
    <row r="28" spans="1:16" ht="15">
      <c r="A28" s="40">
        <v>16</v>
      </c>
      <c r="B28" s="41">
        <v>4.8930434782608696</v>
      </c>
      <c r="C28" s="41">
        <v>4.38</v>
      </c>
      <c r="D28" s="42"/>
      <c r="E28" s="43"/>
      <c r="F28" s="43"/>
      <c r="G28" s="43"/>
      <c r="H28" s="43"/>
      <c r="I28" s="44">
        <f t="shared" si="0"/>
        <v>9.2730434782608704</v>
      </c>
      <c r="J28" s="45">
        <f t="shared" si="1"/>
        <v>4.6365217391304352</v>
      </c>
      <c r="K28" s="26">
        <f t="shared" si="2"/>
        <v>0.25652173913042575</v>
      </c>
      <c r="O28" s="38" t="s">
        <v>97</v>
      </c>
      <c r="P28" s="39">
        <f>P18/P21*2.06</f>
        <v>2.0043004348734086</v>
      </c>
    </row>
    <row r="29" spans="1:16" ht="15">
      <c r="A29" s="40">
        <v>17</v>
      </c>
      <c r="B29" s="41">
        <v>3.9721739130434783</v>
      </c>
      <c r="C29" s="41">
        <v>3.6</v>
      </c>
      <c r="D29" s="42"/>
      <c r="E29" s="43"/>
      <c r="F29" s="43"/>
      <c r="G29" s="43"/>
      <c r="H29" s="43"/>
      <c r="I29" s="44">
        <f t="shared" ref="I29:I44" si="3">SUM(B29:H29)</f>
        <v>7.5721739130434784</v>
      </c>
      <c r="J29" s="45">
        <f t="shared" si="1"/>
        <v>3.7860869565217392</v>
      </c>
      <c r="K29" s="45">
        <f t="shared" si="2"/>
        <v>0.18608695652173404</v>
      </c>
      <c r="O29" s="47" t="s">
        <v>98</v>
      </c>
      <c r="P29" s="48">
        <f>P28/C5*100</f>
        <v>64.794650452596514</v>
      </c>
    </row>
    <row r="30" spans="1:16" ht="15">
      <c r="A30" s="40">
        <v>18</v>
      </c>
      <c r="B30" s="41">
        <v>4.6795652173913043</v>
      </c>
      <c r="C30" s="41">
        <v>4.4000000000000004</v>
      </c>
      <c r="D30" s="42"/>
      <c r="E30" s="43"/>
      <c r="F30" s="43"/>
      <c r="G30" s="43"/>
      <c r="H30" s="43"/>
      <c r="I30" s="44">
        <f t="shared" si="3"/>
        <v>9.0795652173913055</v>
      </c>
      <c r="J30" s="45">
        <f t="shared" si="1"/>
        <v>4.5397826086956528</v>
      </c>
      <c r="K30" s="45">
        <f t="shared" si="2"/>
        <v>0.13978260869562706</v>
      </c>
    </row>
    <row r="31" spans="1:16" ht="15">
      <c r="A31" s="40">
        <v>19</v>
      </c>
      <c r="B31" s="41">
        <v>4.5543478260869561</v>
      </c>
      <c r="C31" s="41">
        <v>4.8499999999999996</v>
      </c>
      <c r="D31" s="42"/>
      <c r="E31" s="43"/>
      <c r="F31" s="43"/>
      <c r="G31" s="43"/>
      <c r="H31" s="43"/>
      <c r="I31" s="44">
        <f t="shared" si="3"/>
        <v>9.4043478260869549</v>
      </c>
      <c r="J31" s="45">
        <f t="shared" si="1"/>
        <v>4.7021739130434774</v>
      </c>
      <c r="K31" s="45">
        <f t="shared" si="2"/>
        <v>0.14782608695653748</v>
      </c>
    </row>
    <row r="32" spans="1:16" ht="15">
      <c r="A32" s="40">
        <v>20</v>
      </c>
      <c r="B32" s="41">
        <v>3.97</v>
      </c>
      <c r="C32" s="41">
        <v>3.51</v>
      </c>
      <c r="D32" s="42"/>
      <c r="E32" s="43"/>
      <c r="F32" s="43"/>
      <c r="G32" s="43"/>
      <c r="H32" s="43"/>
      <c r="I32" s="44">
        <f t="shared" si="3"/>
        <v>7.48</v>
      </c>
      <c r="J32" s="45">
        <f t="shared" si="1"/>
        <v>3.74</v>
      </c>
      <c r="K32" s="45">
        <f t="shared" si="2"/>
        <v>0.22999999999999457</v>
      </c>
    </row>
    <row r="33" spans="1:11" ht="15">
      <c r="A33" s="40">
        <v>21</v>
      </c>
      <c r="B33" s="41">
        <v>4.275652173913044</v>
      </c>
      <c r="C33" s="41">
        <v>4.3</v>
      </c>
      <c r="D33" s="42"/>
      <c r="E33" s="43"/>
      <c r="F33" s="43"/>
      <c r="G33" s="43"/>
      <c r="H33" s="43"/>
      <c r="I33" s="44">
        <f t="shared" si="3"/>
        <v>8.5756521739130438</v>
      </c>
      <c r="J33" s="45">
        <f t="shared" si="1"/>
        <v>4.2878260869565219</v>
      </c>
      <c r="K33" s="45">
        <f t="shared" si="2"/>
        <v>1.2173913043477922E-2</v>
      </c>
    </row>
    <row r="34" spans="1:11" ht="15">
      <c r="A34" s="40">
        <v>22</v>
      </c>
      <c r="B34" s="41">
        <v>1.766086956521739</v>
      </c>
      <c r="C34" s="41">
        <v>0.82</v>
      </c>
      <c r="D34" s="42"/>
      <c r="E34" s="43"/>
      <c r="F34" s="43"/>
      <c r="G34" s="43"/>
      <c r="H34" s="43"/>
      <c r="I34" s="44">
        <f t="shared" si="3"/>
        <v>2.586086956521739</v>
      </c>
      <c r="J34" s="45">
        <f t="shared" si="1"/>
        <v>1.2930434782608695</v>
      </c>
      <c r="K34" s="45">
        <f t="shared" si="2"/>
        <v>0.47304347826086901</v>
      </c>
    </row>
    <row r="35" spans="1:11" ht="15">
      <c r="A35" s="40">
        <v>23</v>
      </c>
      <c r="B35" s="41">
        <v>2.4013043478260867</v>
      </c>
      <c r="C35" s="41">
        <v>2.6</v>
      </c>
      <c r="D35" s="42"/>
      <c r="E35" s="43"/>
      <c r="F35" s="43"/>
      <c r="G35" s="43"/>
      <c r="H35" s="43"/>
      <c r="I35" s="44">
        <f t="shared" si="3"/>
        <v>5.0013043478260872</v>
      </c>
      <c r="J35" s="45">
        <f t="shared" si="1"/>
        <v>2.5006521739130436</v>
      </c>
      <c r="K35" s="45">
        <f t="shared" si="2"/>
        <v>9.934782608694917E-2</v>
      </c>
    </row>
    <row r="36" spans="1:11" ht="15">
      <c r="A36" s="40">
        <v>24</v>
      </c>
      <c r="B36" s="41">
        <v>2.7539130434782608</v>
      </c>
      <c r="C36" s="41">
        <v>2.1</v>
      </c>
      <c r="D36" s="42"/>
      <c r="E36" s="43"/>
      <c r="F36" s="43"/>
      <c r="G36" s="43"/>
      <c r="H36" s="43"/>
      <c r="I36" s="44">
        <f t="shared" si="3"/>
        <v>4.8539130434782614</v>
      </c>
      <c r="J36" s="45">
        <f t="shared" si="1"/>
        <v>2.4269565217391307</v>
      </c>
      <c r="K36" s="45">
        <f t="shared" si="2"/>
        <v>0.32695652173912915</v>
      </c>
    </row>
    <row r="37" spans="1:11" ht="15">
      <c r="A37" s="40">
        <v>25</v>
      </c>
      <c r="B37" s="41">
        <v>4.8913043478260869</v>
      </c>
      <c r="C37" s="41">
        <v>4.5199999999999996</v>
      </c>
      <c r="D37" s="49"/>
      <c r="E37" s="43"/>
      <c r="F37" s="43"/>
      <c r="G37" s="43"/>
      <c r="H37" s="43"/>
      <c r="I37" s="44">
        <f t="shared" si="3"/>
        <v>9.4113043478260856</v>
      </c>
      <c r="J37" s="45">
        <f t="shared" si="1"/>
        <v>4.7056521739130428</v>
      </c>
      <c r="K37" s="45">
        <f t="shared" si="2"/>
        <v>0.18565217391305905</v>
      </c>
    </row>
    <row r="38" spans="1:11" ht="15">
      <c r="A38" s="40">
        <v>26</v>
      </c>
      <c r="B38" s="41">
        <v>4.2013043478260865</v>
      </c>
      <c r="C38" s="41">
        <v>3.76</v>
      </c>
      <c r="D38" s="49"/>
      <c r="E38" s="43"/>
      <c r="F38" s="43"/>
      <c r="G38" s="43"/>
      <c r="H38" s="43"/>
      <c r="I38" s="44">
        <f t="shared" si="3"/>
        <v>7.9613043478260863</v>
      </c>
      <c r="J38" s="45">
        <f t="shared" si="1"/>
        <v>3.9806521739130432</v>
      </c>
      <c r="K38" s="45">
        <f t="shared" si="2"/>
        <v>0.22065217391304437</v>
      </c>
    </row>
    <row r="39" spans="1:11" ht="15">
      <c r="A39" s="40">
        <v>27</v>
      </c>
      <c r="B39" s="41">
        <v>2.4260869565217389</v>
      </c>
      <c r="C39" s="41">
        <v>1.9</v>
      </c>
      <c r="D39" s="49"/>
      <c r="E39" s="43"/>
      <c r="F39" s="43"/>
      <c r="G39" s="43"/>
      <c r="H39" s="43"/>
      <c r="I39" s="44">
        <f t="shared" si="3"/>
        <v>4.3260869565217384</v>
      </c>
      <c r="J39" s="45">
        <f t="shared" si="1"/>
        <v>2.1630434782608692</v>
      </c>
      <c r="K39" s="45">
        <f t="shared" si="2"/>
        <v>0.26304347826087215</v>
      </c>
    </row>
    <row r="40" spans="1:11" ht="15">
      <c r="A40" s="40">
        <v>28</v>
      </c>
      <c r="B40" s="41">
        <v>3.3826086956521699</v>
      </c>
      <c r="C40" s="41">
        <v>4.5586956521739124</v>
      </c>
      <c r="D40" s="49"/>
      <c r="E40" s="43"/>
      <c r="F40" s="43"/>
      <c r="G40" s="43"/>
      <c r="H40" s="43"/>
      <c r="I40" s="44">
        <f t="shared" si="3"/>
        <v>7.9413043478260823</v>
      </c>
      <c r="J40" s="45">
        <f t="shared" si="1"/>
        <v>3.9706521739130411</v>
      </c>
      <c r="K40" s="45">
        <f t="shared" si="2"/>
        <v>0.58804347826087111</v>
      </c>
    </row>
    <row r="41" spans="1:11" ht="15">
      <c r="A41" s="40">
        <v>29</v>
      </c>
      <c r="B41" s="41">
        <v>3.8956521739130432</v>
      </c>
      <c r="C41" s="41">
        <v>2.79</v>
      </c>
      <c r="D41" s="49"/>
      <c r="E41" s="43"/>
      <c r="F41" s="43"/>
      <c r="G41" s="43"/>
      <c r="H41" s="43"/>
      <c r="I41" s="44">
        <f t="shared" si="3"/>
        <v>6.6856521739130432</v>
      </c>
      <c r="J41" s="45">
        <f t="shared" si="1"/>
        <v>3.3428260869565216</v>
      </c>
      <c r="K41" s="45">
        <f t="shared" si="2"/>
        <v>0.55282608695652113</v>
      </c>
    </row>
    <row r="42" spans="1:11" ht="15">
      <c r="A42" s="40">
        <v>30</v>
      </c>
      <c r="B42" s="41">
        <v>0.77</v>
      </c>
      <c r="C42" s="41">
        <v>0.8</v>
      </c>
      <c r="D42" s="49"/>
      <c r="E42" s="43"/>
      <c r="F42" s="43"/>
      <c r="G42" s="43"/>
      <c r="H42" s="43"/>
      <c r="I42" s="44">
        <f t="shared" si="3"/>
        <v>1.57</v>
      </c>
      <c r="J42" s="45">
        <f t="shared" si="1"/>
        <v>0.78500000000000003</v>
      </c>
      <c r="K42" s="45">
        <f t="shared" si="2"/>
        <v>1.5000000000000012E-2</v>
      </c>
    </row>
    <row r="43" spans="1:11" ht="15">
      <c r="A43" s="40">
        <v>31</v>
      </c>
      <c r="B43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98.3</v>
      </c>
      <c r="C74" s="51">
        <f>SUM(C13:C73)</f>
        <v>87.298695652173905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185.59869565217389</v>
      </c>
      <c r="J74" s="32"/>
    </row>
    <row r="75" spans="1:11">
      <c r="B75" s="25">
        <f>AVERAGE(B13:B28)</f>
        <v>3.1475000000000004</v>
      </c>
      <c r="C75" s="25">
        <f>AVERAGE(C13:C28)</f>
        <v>2.6743749999999999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14"/>
  <sheetViews>
    <sheetView topLeftCell="B9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2.5764629629638875</v>
      </c>
      <c r="G3" s="21">
        <f>F3/E3</f>
        <v>2.5764629629638875</v>
      </c>
      <c r="H3" s="21">
        <f>G3/G5</f>
        <v>4.7134183230079305</v>
      </c>
      <c r="I3" s="22">
        <f>FINV(0.05,E3,E$5)</f>
        <v>4.1829641621552192</v>
      </c>
      <c r="J3" s="23" t="str">
        <f>IF(H3&gt;K3,"**",IF(H3&gt;I3,"*","NS"))</f>
        <v>*</v>
      </c>
      <c r="K3" s="22">
        <f>FINV(0.01,E3,E$5)</f>
        <v>7.5976632412849163</v>
      </c>
      <c r="L3" s="13">
        <f>FDIST(H3,E3,E$5)</f>
        <v>3.8253674508377813E-2</v>
      </c>
    </row>
    <row r="4" spans="1:16">
      <c r="B4" s="16" t="s">
        <v>67</v>
      </c>
      <c r="C4" s="24">
        <f>I74</f>
        <v>384.07435897435897</v>
      </c>
      <c r="D4" s="20" t="s">
        <v>3</v>
      </c>
      <c r="E4" s="21">
        <f>C2-1</f>
        <v>29</v>
      </c>
      <c r="F4" s="21">
        <f>(SUMSQ(I13:I73)/C3)-C6</f>
        <v>85.798734275696006</v>
      </c>
      <c r="G4" s="21">
        <f>F4/E4</f>
        <v>2.9585770439895174</v>
      </c>
      <c r="H4" s="21">
        <f>G4/G5</f>
        <v>5.4124633071103414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9.4240495495677365E-6</v>
      </c>
    </row>
    <row r="5" spans="1:16">
      <c r="B5" s="16" t="s">
        <v>68</v>
      </c>
      <c r="C5" s="24">
        <f>I74/(C2*C3)</f>
        <v>6.401239316239316</v>
      </c>
      <c r="D5" s="20" t="s">
        <v>69</v>
      </c>
      <c r="E5" s="21">
        <f>E4*E3</f>
        <v>29</v>
      </c>
      <c r="F5" s="21">
        <f>F6-F4-F3</f>
        <v>15.852067609027927</v>
      </c>
      <c r="G5" s="22">
        <f>F5/E5</f>
        <v>0.54662302100096294</v>
      </c>
      <c r="H5" s="21"/>
      <c r="I5" s="21"/>
      <c r="J5" s="23"/>
    </row>
    <row r="6" spans="1:16">
      <c r="B6" s="16" t="s">
        <v>70</v>
      </c>
      <c r="C6" s="24">
        <f>POWER(I74,2)/(C2*C3)</f>
        <v>2458.5518870260794</v>
      </c>
      <c r="D6" s="18" t="s">
        <v>71</v>
      </c>
      <c r="E6" s="26">
        <f>C2*C3-1</f>
        <v>59</v>
      </c>
      <c r="F6" s="26">
        <f>SUMSQ(B13:H73)-C6</f>
        <v>104.22726484768782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0.73933958435955727</v>
      </c>
      <c r="G7" s="31"/>
      <c r="H7" s="31"/>
      <c r="I7" s="31"/>
    </row>
    <row r="8" spans="1:16">
      <c r="D8" s="60" t="s">
        <v>73</v>
      </c>
      <c r="E8" s="60"/>
      <c r="F8" s="32">
        <f>SQRT((G5)/C3)</f>
        <v>0.52279203370028648</v>
      </c>
      <c r="I8" s="33"/>
    </row>
    <row r="9" spans="1:16">
      <c r="D9" s="60" t="s">
        <v>74</v>
      </c>
      <c r="E9" s="60"/>
      <c r="F9" s="32">
        <f>TINV(0.05,E5)*F8*SQRT(2)</f>
        <v>1.5121192105968528</v>
      </c>
      <c r="G9" s="13" t="s">
        <v>75</v>
      </c>
      <c r="H9" s="32">
        <f>TINV(0.01,E5)*F8*SQRT(2)</f>
        <v>2.0379052071917205</v>
      </c>
    </row>
    <row r="10" spans="1:16">
      <c r="D10" s="60" t="s">
        <v>76</v>
      </c>
      <c r="E10" s="60"/>
      <c r="F10" s="32">
        <f>SQRT(G5)/C5*100</f>
        <v>11.549944437851673</v>
      </c>
    </row>
    <row r="11" spans="1:16">
      <c r="D11" s="23"/>
      <c r="E11" s="34"/>
      <c r="O11" s="35" t="s">
        <v>68</v>
      </c>
      <c r="P11" s="36">
        <f>C5</f>
        <v>6.401239316239316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0.73933958435955727</v>
      </c>
    </row>
    <row r="13" spans="1:16" ht="15">
      <c r="A13" s="40">
        <v>1</v>
      </c>
      <c r="B13" s="41">
        <v>7.7615384615384615</v>
      </c>
      <c r="C13" s="41">
        <v>5.9</v>
      </c>
      <c r="D13" s="42"/>
      <c r="E13" s="43"/>
      <c r="F13" s="43"/>
      <c r="G13" s="43"/>
      <c r="H13" s="43"/>
      <c r="I13" s="44">
        <f t="shared" ref="I13:I28" si="0">SUM(B13:H13)</f>
        <v>13.661538461538463</v>
      </c>
      <c r="J13" s="45">
        <f t="shared" ref="J13:J73" si="1">AVERAGE(B13:H13)</f>
        <v>6.8307692307692314</v>
      </c>
      <c r="K13" s="26">
        <f t="shared" ref="K13:K73" si="2">STDEV(B13:D13)/SQRT(C$3)</f>
        <v>0.93076923076922657</v>
      </c>
      <c r="O13" s="38" t="s">
        <v>82</v>
      </c>
      <c r="P13" s="39">
        <f>F7/C5*100</f>
        <v>11.549944437851673</v>
      </c>
    </row>
    <row r="14" spans="1:16" ht="15">
      <c r="A14" s="40">
        <v>2</v>
      </c>
      <c r="B14" s="41">
        <v>6.2743589743589796</v>
      </c>
      <c r="C14" s="41">
        <v>7.4</v>
      </c>
      <c r="D14" s="42"/>
      <c r="E14" s="43"/>
      <c r="F14" s="43"/>
      <c r="G14" s="43"/>
      <c r="H14" s="43"/>
      <c r="I14" s="44">
        <f t="shared" si="0"/>
        <v>13.674358974358981</v>
      </c>
      <c r="J14" s="45">
        <f t="shared" si="1"/>
        <v>6.8371794871794904</v>
      </c>
      <c r="K14" s="26">
        <f t="shared" si="2"/>
        <v>0.56282051282050438</v>
      </c>
      <c r="O14" s="38" t="s">
        <v>83</v>
      </c>
      <c r="P14" s="39">
        <f>F7/SQRT(C3)</f>
        <v>0.52279203370028637</v>
      </c>
    </row>
    <row r="15" spans="1:16" ht="15">
      <c r="A15" s="40">
        <v>3</v>
      </c>
      <c r="B15" s="41">
        <v>4.1384615384615389</v>
      </c>
      <c r="C15" s="41">
        <v>5.7</v>
      </c>
      <c r="D15" s="42"/>
      <c r="E15" s="43"/>
      <c r="F15" s="43"/>
      <c r="G15" s="43"/>
      <c r="H15" s="43"/>
      <c r="I15" s="44">
        <f t="shared" si="0"/>
        <v>9.838461538461539</v>
      </c>
      <c r="J15" s="45">
        <f t="shared" si="1"/>
        <v>4.9192307692307695</v>
      </c>
      <c r="K15" s="26">
        <f t="shared" si="2"/>
        <v>0.78076923076922944</v>
      </c>
      <c r="O15" s="38" t="s">
        <v>84</v>
      </c>
      <c r="P15" s="39">
        <f>F8*SQRT(2)</f>
        <v>0.73933958435955738</v>
      </c>
    </row>
    <row r="16" spans="1:16" ht="15">
      <c r="A16" s="40">
        <v>4</v>
      </c>
      <c r="B16" s="41">
        <v>8.0487179487179503</v>
      </c>
      <c r="C16" s="41">
        <v>7.8</v>
      </c>
      <c r="D16" s="42"/>
      <c r="E16" s="43"/>
      <c r="F16" s="43"/>
      <c r="G16" s="43"/>
      <c r="H16" s="43"/>
      <c r="I16" s="44">
        <f t="shared" si="0"/>
        <v>15.848717948717951</v>
      </c>
      <c r="J16" s="45">
        <f t="shared" si="1"/>
        <v>7.9243589743589755</v>
      </c>
      <c r="K16" s="26">
        <f t="shared" si="2"/>
        <v>0.12435897435897403</v>
      </c>
      <c r="O16" s="38" t="s">
        <v>85</v>
      </c>
      <c r="P16" s="39">
        <f>TINV(0.05,E5)*F8*SQRT(2)</f>
        <v>1.5121192105968528</v>
      </c>
    </row>
    <row r="17" spans="1:16" ht="15">
      <c r="A17" s="40">
        <v>5</v>
      </c>
      <c r="B17" s="41">
        <v>8.0025641025641008</v>
      </c>
      <c r="C17" s="41">
        <v>8.4</v>
      </c>
      <c r="D17" s="42"/>
      <c r="E17" s="43"/>
      <c r="F17" s="43"/>
      <c r="G17" s="43"/>
      <c r="H17" s="43"/>
      <c r="I17" s="44">
        <f t="shared" si="0"/>
        <v>16.402564102564099</v>
      </c>
      <c r="J17" s="45">
        <f t="shared" si="1"/>
        <v>8.2012820512820497</v>
      </c>
      <c r="K17" s="26">
        <f t="shared" si="2"/>
        <v>0.19871794871800186</v>
      </c>
      <c r="O17" s="38" t="s">
        <v>86</v>
      </c>
      <c r="P17" s="39">
        <f>TINV(0.01,E5)*F8*SQRT(2)</f>
        <v>2.0379052071917205</v>
      </c>
    </row>
    <row r="18" spans="1:16" ht="15">
      <c r="A18" s="40">
        <v>6</v>
      </c>
      <c r="B18" s="41">
        <v>5.2589743589743598</v>
      </c>
      <c r="C18" s="41">
        <v>6.1</v>
      </c>
      <c r="D18" s="42"/>
      <c r="E18" s="43"/>
      <c r="F18" s="43"/>
      <c r="G18" s="43"/>
      <c r="H18" s="43"/>
      <c r="I18" s="44">
        <f t="shared" si="0"/>
        <v>11.358974358974359</v>
      </c>
      <c r="J18" s="45">
        <f t="shared" si="1"/>
        <v>5.6794871794871797</v>
      </c>
      <c r="K18" s="26">
        <f t="shared" si="2"/>
        <v>0.42051282051282612</v>
      </c>
      <c r="O18" s="38" t="s">
        <v>87</v>
      </c>
      <c r="P18" s="39">
        <f>(G4-G5)/C3</f>
        <v>1.2059770114942772</v>
      </c>
    </row>
    <row r="19" spans="1:16" ht="15">
      <c r="A19" s="40">
        <v>7</v>
      </c>
      <c r="B19" s="41">
        <v>5.7076923076923096</v>
      </c>
      <c r="C19" s="41">
        <v>6.4</v>
      </c>
      <c r="D19" s="42"/>
      <c r="E19" s="43"/>
      <c r="F19" s="43"/>
      <c r="G19" s="43"/>
      <c r="H19" s="43"/>
      <c r="I19" s="44">
        <f t="shared" si="0"/>
        <v>12.107692307692311</v>
      </c>
      <c r="J19" s="45">
        <f t="shared" si="1"/>
        <v>6.0538461538461554</v>
      </c>
      <c r="K19" s="26">
        <f t="shared" si="2"/>
        <v>0.3461538461538381</v>
      </c>
      <c r="O19" s="38" t="s">
        <v>88</v>
      </c>
      <c r="P19" s="39">
        <f>P18+G5</f>
        <v>1.75260003249524</v>
      </c>
    </row>
    <row r="20" spans="1:16" ht="15">
      <c r="A20" s="40">
        <v>8</v>
      </c>
      <c r="B20" s="41">
        <v>6.3948717948717952</v>
      </c>
      <c r="C20" s="41">
        <v>7.1</v>
      </c>
      <c r="D20" s="42"/>
      <c r="E20" s="43"/>
      <c r="F20" s="43"/>
      <c r="G20" s="43"/>
      <c r="H20" s="43"/>
      <c r="I20" s="44">
        <f t="shared" si="0"/>
        <v>13.494871794871795</v>
      </c>
      <c r="J20" s="45">
        <f t="shared" si="1"/>
        <v>6.7474358974358974</v>
      </c>
      <c r="K20" s="26">
        <f t="shared" si="2"/>
        <v>0.35256410256410065</v>
      </c>
      <c r="O20" s="38" t="s">
        <v>89</v>
      </c>
      <c r="P20" s="39">
        <f>SQRT(P18)</f>
        <v>1.0981698463781808</v>
      </c>
    </row>
    <row r="21" spans="1:16" ht="15">
      <c r="A21" s="40">
        <v>9</v>
      </c>
      <c r="B21" s="41">
        <v>6.3948717948717952</v>
      </c>
      <c r="C21" s="41">
        <v>6.5</v>
      </c>
      <c r="D21" s="42"/>
      <c r="E21" s="43"/>
      <c r="F21" s="43"/>
      <c r="G21" s="43"/>
      <c r="H21" s="43"/>
      <c r="I21" s="44">
        <f t="shared" si="0"/>
        <v>12.894871794871795</v>
      </c>
      <c r="J21" s="45">
        <f t="shared" si="1"/>
        <v>6.4474358974358976</v>
      </c>
      <c r="K21" s="26">
        <f t="shared" si="2"/>
        <v>5.2564102564102377E-2</v>
      </c>
      <c r="O21" s="38" t="s">
        <v>90</v>
      </c>
      <c r="P21" s="39">
        <f>SQRT(P19)</f>
        <v>1.3238580107002562</v>
      </c>
    </row>
    <row r="22" spans="1:16" ht="15">
      <c r="A22" s="40">
        <v>10</v>
      </c>
      <c r="B22" s="41">
        <v>6.31025641025641</v>
      </c>
      <c r="C22" s="41">
        <v>5.7</v>
      </c>
      <c r="D22" s="42"/>
      <c r="E22" s="43"/>
      <c r="F22" s="43"/>
      <c r="G22" s="43"/>
      <c r="H22" s="43"/>
      <c r="I22" s="44">
        <f t="shared" si="0"/>
        <v>12.01025641025641</v>
      </c>
      <c r="J22" s="45">
        <f t="shared" si="1"/>
        <v>6.0051282051282051</v>
      </c>
      <c r="K22" s="26">
        <f t="shared" si="2"/>
        <v>0.30512820512820582</v>
      </c>
      <c r="O22" s="38" t="s">
        <v>91</v>
      </c>
      <c r="P22" s="39">
        <f>G5</f>
        <v>0.54662302100096294</v>
      </c>
    </row>
    <row r="23" spans="1:16" ht="15">
      <c r="A23" s="40">
        <v>11</v>
      </c>
      <c r="B23" s="41">
        <v>6.6025641025641022</v>
      </c>
      <c r="C23" s="41">
        <v>7.2</v>
      </c>
      <c r="D23" s="42"/>
      <c r="E23" s="43"/>
      <c r="F23" s="43"/>
      <c r="G23" s="43"/>
      <c r="H23" s="43"/>
      <c r="I23" s="44">
        <f t="shared" si="0"/>
        <v>13.802564102564101</v>
      </c>
      <c r="J23" s="45">
        <f t="shared" si="1"/>
        <v>6.9012820512820507</v>
      </c>
      <c r="K23" s="26">
        <f t="shared" si="2"/>
        <v>0.29871794871796414</v>
      </c>
      <c r="O23" s="38" t="s">
        <v>92</v>
      </c>
      <c r="P23" s="39">
        <f>SQRT(P22)</f>
        <v>0.73933958435955727</v>
      </c>
    </row>
    <row r="24" spans="1:16" ht="15">
      <c r="A24" s="40">
        <v>12</v>
      </c>
      <c r="B24" s="41">
        <v>5.0794871794871792</v>
      </c>
      <c r="C24" s="41">
        <v>6.6</v>
      </c>
      <c r="D24" s="42"/>
      <c r="E24" s="43"/>
      <c r="F24" s="43"/>
      <c r="G24" s="43"/>
      <c r="H24" s="43"/>
      <c r="I24" s="44">
        <f t="shared" si="0"/>
        <v>11.679487179487179</v>
      </c>
      <c r="J24" s="45">
        <f t="shared" si="1"/>
        <v>5.8397435897435894</v>
      </c>
      <c r="K24" s="26">
        <f t="shared" si="2"/>
        <v>0.76025641025641311</v>
      </c>
      <c r="O24" s="38" t="s">
        <v>93</v>
      </c>
      <c r="P24" s="39">
        <f>P20/C5*100</f>
        <v>17.155581788548847</v>
      </c>
    </row>
    <row r="25" spans="1:16" ht="15">
      <c r="A25" s="40">
        <v>13</v>
      </c>
      <c r="B25" s="41">
        <v>6.6974358974359003</v>
      </c>
      <c r="C25" s="41">
        <v>7.1</v>
      </c>
      <c r="D25" s="42"/>
      <c r="E25" s="43"/>
      <c r="F25" s="43"/>
      <c r="G25" s="43"/>
      <c r="H25" s="43"/>
      <c r="I25" s="44">
        <f t="shared" si="0"/>
        <v>13.7974358974359</v>
      </c>
      <c r="J25" s="45">
        <f t="shared" si="1"/>
        <v>6.89871794871795</v>
      </c>
      <c r="K25" s="26">
        <f t="shared" si="2"/>
        <v>0.20128205128205257</v>
      </c>
      <c r="O25" s="38" t="s">
        <v>94</v>
      </c>
      <c r="P25" s="39">
        <f>P21/C5*100</f>
        <v>20.681276629382666</v>
      </c>
    </row>
    <row r="26" spans="1:16" ht="15">
      <c r="A26" s="40">
        <v>14</v>
      </c>
      <c r="B26" s="41">
        <v>6.8615384615384603</v>
      </c>
      <c r="C26" s="41">
        <v>7.2</v>
      </c>
      <c r="D26" s="42"/>
      <c r="E26" s="43"/>
      <c r="F26" s="43"/>
      <c r="G26" s="43"/>
      <c r="H26" s="43"/>
      <c r="I26" s="44">
        <f t="shared" si="0"/>
        <v>14.061538461538461</v>
      </c>
      <c r="J26" s="45">
        <f t="shared" si="1"/>
        <v>7.0307692307692307</v>
      </c>
      <c r="K26" s="26">
        <f t="shared" si="2"/>
        <v>0.16923076923074679</v>
      </c>
      <c r="O26" s="38" t="s">
        <v>95</v>
      </c>
      <c r="P26" s="39">
        <f>P23/C5*100</f>
        <v>11.549944437851673</v>
      </c>
    </row>
    <row r="27" spans="1:16" ht="15">
      <c r="A27" s="40">
        <v>15</v>
      </c>
      <c r="B27" s="41">
        <v>3.9512820512820501</v>
      </c>
      <c r="C27" s="41">
        <v>4.4000000000000004</v>
      </c>
      <c r="D27" s="42"/>
      <c r="E27" s="43"/>
      <c r="F27" s="43"/>
      <c r="G27" s="43"/>
      <c r="H27" s="43"/>
      <c r="I27" s="44">
        <f t="shared" si="0"/>
        <v>8.35128205128205</v>
      </c>
      <c r="J27" s="45">
        <f t="shared" si="1"/>
        <v>4.175641025641025</v>
      </c>
      <c r="K27" s="26">
        <f t="shared" si="2"/>
        <v>0.22435897435898022</v>
      </c>
      <c r="O27" s="38" t="s">
        <v>96</v>
      </c>
      <c r="P27" s="39">
        <f>P18/P19*100</f>
        <v>68.810737711632015</v>
      </c>
    </row>
    <row r="28" spans="1:16" ht="15">
      <c r="A28" s="40">
        <v>16</v>
      </c>
      <c r="B28" s="41">
        <v>8.7974358974358982</v>
      </c>
      <c r="C28" s="41">
        <v>6.7</v>
      </c>
      <c r="D28" s="42"/>
      <c r="E28" s="43"/>
      <c r="F28" s="43"/>
      <c r="G28" s="43"/>
      <c r="H28" s="43"/>
      <c r="I28" s="44">
        <f t="shared" si="0"/>
        <v>15.497435897435899</v>
      </c>
      <c r="J28" s="45">
        <f t="shared" si="1"/>
        <v>7.7487179487179496</v>
      </c>
      <c r="K28" s="26">
        <f t="shared" si="2"/>
        <v>1.0487179487179439</v>
      </c>
      <c r="O28" s="38" t="s">
        <v>97</v>
      </c>
      <c r="P28" s="39">
        <f>P18/P21*2.06</f>
        <v>1.8765703146398085</v>
      </c>
    </row>
    <row r="29" spans="1:16" ht="15">
      <c r="A29" s="40">
        <v>17</v>
      </c>
      <c r="B29" s="41">
        <v>4.1948717948717951</v>
      </c>
      <c r="C29" s="41">
        <v>5.8</v>
      </c>
      <c r="D29" s="42"/>
      <c r="E29" s="43"/>
      <c r="F29" s="43"/>
      <c r="G29" s="43"/>
      <c r="H29" s="43"/>
      <c r="I29" s="44">
        <f t="shared" ref="I29:I44" si="3">SUM(B29:H29)</f>
        <v>9.9948717948717949</v>
      </c>
      <c r="J29" s="45">
        <f t="shared" si="1"/>
        <v>4.9974358974358974</v>
      </c>
      <c r="K29" s="45">
        <f t="shared" si="2"/>
        <v>0.8025641025641026</v>
      </c>
      <c r="O29" s="47" t="s">
        <v>98</v>
      </c>
      <c r="P29" s="48">
        <f>P28/C5*100</f>
        <v>29.315734374734809</v>
      </c>
    </row>
    <row r="30" spans="1:16" ht="15">
      <c r="A30" s="40">
        <v>18</v>
      </c>
      <c r="B30" s="41">
        <v>3.3051282051282054</v>
      </c>
      <c r="C30" s="41">
        <v>5.3</v>
      </c>
      <c r="D30" s="42"/>
      <c r="E30" s="43"/>
      <c r="F30" s="43"/>
      <c r="G30" s="43"/>
      <c r="H30" s="43"/>
      <c r="I30" s="44">
        <f t="shared" si="3"/>
        <v>8.6051282051282048</v>
      </c>
      <c r="J30" s="45">
        <f t="shared" si="1"/>
        <v>4.3025641025641024</v>
      </c>
      <c r="K30" s="45">
        <f t="shared" si="2"/>
        <v>0.99743589743589756</v>
      </c>
    </row>
    <row r="31" spans="1:16" ht="15">
      <c r="A31" s="40">
        <v>19</v>
      </c>
      <c r="B31" s="41">
        <v>5.9692307692307702</v>
      </c>
      <c r="C31" s="41">
        <v>6.1</v>
      </c>
      <c r="D31" s="42"/>
      <c r="E31" s="43"/>
      <c r="F31" s="43"/>
      <c r="G31" s="43"/>
      <c r="H31" s="43"/>
      <c r="I31" s="44">
        <f t="shared" si="3"/>
        <v>12.069230769230771</v>
      </c>
      <c r="J31" s="45">
        <f t="shared" si="1"/>
        <v>6.0346153846153854</v>
      </c>
      <c r="K31" s="45">
        <f t="shared" si="2"/>
        <v>6.5384615384555103E-2</v>
      </c>
    </row>
    <row r="32" spans="1:16" ht="15">
      <c r="A32" s="40">
        <v>20</v>
      </c>
      <c r="B32" s="41">
        <v>5.5897435897435894</v>
      </c>
      <c r="C32" s="41">
        <v>4.8</v>
      </c>
      <c r="D32" s="42"/>
      <c r="E32" s="43"/>
      <c r="F32" s="43"/>
      <c r="G32" s="43"/>
      <c r="H32" s="43"/>
      <c r="I32" s="44">
        <f t="shared" si="3"/>
        <v>10.389743589743588</v>
      </c>
      <c r="J32" s="45">
        <f t="shared" si="1"/>
        <v>5.1948717948717942</v>
      </c>
      <c r="K32" s="45">
        <f t="shared" si="2"/>
        <v>0.39487179487179846</v>
      </c>
    </row>
    <row r="33" spans="1:11" ht="15">
      <c r="A33" s="40">
        <v>21</v>
      </c>
      <c r="B33" s="41">
        <v>8.2512820512820504</v>
      </c>
      <c r="C33" s="41">
        <v>8.3000000000000007</v>
      </c>
      <c r="D33" s="42"/>
      <c r="E33" s="43"/>
      <c r="F33" s="43"/>
      <c r="G33" s="43"/>
      <c r="H33" s="43"/>
      <c r="I33" s="44">
        <f t="shared" si="3"/>
        <v>16.551282051282051</v>
      </c>
      <c r="J33" s="45">
        <f t="shared" si="1"/>
        <v>8.2756410256410255</v>
      </c>
      <c r="K33" s="45">
        <f t="shared" si="2"/>
        <v>2.4358974358975161E-2</v>
      </c>
    </row>
    <row r="34" spans="1:11" ht="15">
      <c r="A34" s="40">
        <v>22</v>
      </c>
      <c r="B34" s="41">
        <v>7.4435897435897438</v>
      </c>
      <c r="C34" s="41">
        <v>6.8</v>
      </c>
      <c r="D34" s="42"/>
      <c r="E34" s="43"/>
      <c r="F34" s="43"/>
      <c r="G34" s="43"/>
      <c r="H34" s="43"/>
      <c r="I34" s="44">
        <f t="shared" si="3"/>
        <v>14.243589743589745</v>
      </c>
      <c r="J34" s="45">
        <f t="shared" si="1"/>
        <v>7.1217948717948723</v>
      </c>
      <c r="K34" s="45">
        <f t="shared" si="2"/>
        <v>0.32179487179485261</v>
      </c>
    </row>
    <row r="35" spans="1:11" ht="15">
      <c r="A35" s="40">
        <v>23</v>
      </c>
      <c r="B35" s="41">
        <v>6.2615384615384624</v>
      </c>
      <c r="C35" s="41">
        <v>5.3</v>
      </c>
      <c r="D35" s="42"/>
      <c r="E35" s="43"/>
      <c r="F35" s="43"/>
      <c r="G35" s="43"/>
      <c r="H35" s="43"/>
      <c r="I35" s="44">
        <f t="shared" si="3"/>
        <v>11.561538461538461</v>
      </c>
      <c r="J35" s="45">
        <f t="shared" si="1"/>
        <v>5.7807692307692307</v>
      </c>
      <c r="K35" s="45">
        <f t="shared" si="2"/>
        <v>0.48076923076923822</v>
      </c>
    </row>
    <row r="36" spans="1:11" ht="15">
      <c r="A36" s="40">
        <v>24</v>
      </c>
      <c r="B36" s="41">
        <v>6.08205128205128</v>
      </c>
      <c r="C36" s="41">
        <v>7.7</v>
      </c>
      <c r="D36" s="42"/>
      <c r="E36" s="43"/>
      <c r="F36" s="43"/>
      <c r="G36" s="43"/>
      <c r="H36" s="43"/>
      <c r="I36" s="44">
        <f t="shared" si="3"/>
        <v>13.782051282051281</v>
      </c>
      <c r="J36" s="45">
        <f t="shared" si="1"/>
        <v>6.8910256410256405</v>
      </c>
      <c r="K36" s="45">
        <f t="shared" si="2"/>
        <v>0.80897435897435876</v>
      </c>
    </row>
    <row r="37" spans="1:11" ht="15">
      <c r="A37" s="40">
        <v>25</v>
      </c>
      <c r="B37" s="41">
        <v>4.6410256410256414</v>
      </c>
      <c r="C37" s="41">
        <v>5.6</v>
      </c>
      <c r="D37" s="49"/>
      <c r="E37" s="43"/>
      <c r="F37" s="43"/>
      <c r="G37" s="43"/>
      <c r="H37" s="43"/>
      <c r="I37" s="44">
        <f t="shared" si="3"/>
        <v>10.24102564102564</v>
      </c>
      <c r="J37" s="45">
        <f t="shared" si="1"/>
        <v>5.1205128205128201</v>
      </c>
      <c r="K37" s="45">
        <f t="shared" si="2"/>
        <v>0.47948717948718367</v>
      </c>
    </row>
    <row r="38" spans="1:11" ht="15">
      <c r="A38" s="40">
        <v>26</v>
      </c>
      <c r="B38" s="41">
        <v>6.4743589743589745</v>
      </c>
      <c r="C38" s="41">
        <v>7</v>
      </c>
      <c r="D38" s="49"/>
      <c r="E38" s="43"/>
      <c r="F38" s="43"/>
      <c r="G38" s="43"/>
      <c r="H38" s="43"/>
      <c r="I38" s="44">
        <f t="shared" si="3"/>
        <v>13.474358974358974</v>
      </c>
      <c r="J38" s="45">
        <f t="shared" si="1"/>
        <v>6.7371794871794872</v>
      </c>
      <c r="K38" s="45">
        <f t="shared" si="2"/>
        <v>0.26282051282051483</v>
      </c>
    </row>
    <row r="39" spans="1:11" ht="15">
      <c r="A39" s="40">
        <v>27</v>
      </c>
      <c r="B39" s="41">
        <v>9.0846153846153896</v>
      </c>
      <c r="C39" s="41">
        <v>10.199999999999999</v>
      </c>
      <c r="D39" s="49"/>
      <c r="E39" s="43"/>
      <c r="F39" s="43"/>
      <c r="G39" s="43"/>
      <c r="H39" s="43"/>
      <c r="I39" s="44">
        <f t="shared" si="3"/>
        <v>19.284615384615389</v>
      </c>
      <c r="J39" s="45">
        <f t="shared" si="1"/>
        <v>9.6423076923076945</v>
      </c>
      <c r="K39" s="45">
        <f t="shared" si="2"/>
        <v>0.55769230769230438</v>
      </c>
    </row>
    <row r="40" spans="1:11" ht="15">
      <c r="A40" s="40">
        <v>28</v>
      </c>
      <c r="B40" s="41">
        <v>5.971794871794871</v>
      </c>
      <c r="C40" s="41">
        <v>6.5538461538461537</v>
      </c>
      <c r="D40" s="49"/>
      <c r="E40" s="43"/>
      <c r="F40" s="43"/>
      <c r="G40" s="43"/>
      <c r="H40" s="43"/>
      <c r="I40" s="44">
        <f t="shared" si="3"/>
        <v>12.525641025641026</v>
      </c>
      <c r="J40" s="45">
        <f t="shared" si="1"/>
        <v>6.2628205128205128</v>
      </c>
      <c r="K40" s="45">
        <f t="shared" si="2"/>
        <v>0.29102564102561912</v>
      </c>
    </row>
    <row r="41" spans="1:11" ht="15">
      <c r="A41" s="40">
        <v>29</v>
      </c>
      <c r="B41" s="41">
        <v>4.3692307692307688</v>
      </c>
      <c r="C41" s="41">
        <v>6.8</v>
      </c>
      <c r="D41" s="49"/>
      <c r="E41" s="43"/>
      <c r="F41" s="43"/>
      <c r="G41" s="43"/>
      <c r="H41" s="43"/>
      <c r="I41" s="44">
        <f t="shared" si="3"/>
        <v>11.169230769230769</v>
      </c>
      <c r="J41" s="45">
        <f t="shared" si="1"/>
        <v>5.5846153846153843</v>
      </c>
      <c r="K41" s="45">
        <f t="shared" si="2"/>
        <v>1.2153846153846148</v>
      </c>
    </row>
    <row r="42" spans="1:11" ht="15">
      <c r="A42" s="40">
        <v>30</v>
      </c>
      <c r="B42" s="41">
        <v>5.9</v>
      </c>
      <c r="C42" s="41">
        <v>5.8</v>
      </c>
      <c r="D42" s="49"/>
      <c r="E42" s="43"/>
      <c r="F42" s="43"/>
      <c r="G42" s="43"/>
      <c r="H42" s="43"/>
      <c r="I42" s="44">
        <f t="shared" si="3"/>
        <v>11.7</v>
      </c>
      <c r="J42" s="45">
        <f t="shared" si="1"/>
        <v>5.85</v>
      </c>
      <c r="K42" s="45">
        <f t="shared" si="2"/>
        <v>5.000000000000026E-2</v>
      </c>
    </row>
    <row r="43" spans="1:11" ht="15">
      <c r="A43" s="40">
        <v>31</v>
      </c>
      <c r="B43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185.82051282051287</v>
      </c>
      <c r="C74" s="51">
        <f>SUM(C13:C73)</f>
        <v>198.25384615384618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384.07435897435897</v>
      </c>
      <c r="J74" s="32"/>
    </row>
    <row r="75" spans="1:11">
      <c r="B75" s="25">
        <f>AVERAGE(B13:B28)</f>
        <v>6.3926282051282062</v>
      </c>
      <c r="C75" s="25">
        <f>AVERAGE(C13:C28)</f>
        <v>6.6375000000000002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14"/>
  <sheetViews>
    <sheetView topLeftCell="A30" workbookViewId="0">
      <selection activeCell="B13" sqref="B13:C42"/>
    </sheetView>
  </sheetViews>
  <sheetFormatPr defaultRowHeight="12.75"/>
  <cols>
    <col min="1" max="1" width="10.7109375" style="13" bestFit="1" customWidth="1"/>
    <col min="2" max="2" width="18.7109375" style="13" bestFit="1" customWidth="1"/>
    <col min="3" max="3" width="14.42578125" style="13" customWidth="1"/>
    <col min="4" max="5" width="11" style="13" customWidth="1"/>
    <col min="6" max="6" width="15" style="13" customWidth="1"/>
    <col min="7" max="7" width="11" style="13" customWidth="1"/>
    <col min="8" max="8" width="12.7109375" style="13" customWidth="1"/>
    <col min="9" max="9" width="12.85546875" style="13" customWidth="1"/>
    <col min="10" max="10" width="15" style="13" bestFit="1" customWidth="1"/>
    <col min="11" max="11" width="12.28515625" style="13" bestFit="1" customWidth="1"/>
    <col min="12" max="14" width="9.140625" style="13"/>
    <col min="15" max="15" width="15.28515625" style="13" customWidth="1"/>
    <col min="16" max="16" width="9.28515625" style="13" bestFit="1" customWidth="1"/>
    <col min="17" max="245" width="9.140625" style="13"/>
    <col min="246" max="246" width="15.42578125" style="13" customWidth="1"/>
    <col min="247" max="247" width="14.42578125" style="13" customWidth="1"/>
    <col min="248" max="249" width="11" style="13" customWidth="1"/>
    <col min="250" max="250" width="15" style="13" customWidth="1"/>
    <col min="251" max="251" width="11" style="13" customWidth="1"/>
    <col min="252" max="252" width="12.7109375" style="13" customWidth="1"/>
    <col min="253" max="253" width="12.85546875" style="13" customWidth="1"/>
    <col min="254" max="254" width="13.42578125" style="13" customWidth="1"/>
    <col min="255" max="258" width="9.140625" style="13"/>
    <col min="259" max="259" width="15.28515625" style="13" customWidth="1"/>
    <col min="260" max="260" width="9.28515625" style="13" bestFit="1" customWidth="1"/>
    <col min="261" max="261" width="9.140625" style="13"/>
    <col min="262" max="262" width="12.7109375" style="13" customWidth="1"/>
    <col min="263" max="501" width="9.140625" style="13"/>
    <col min="502" max="502" width="15.42578125" style="13" customWidth="1"/>
    <col min="503" max="503" width="14.42578125" style="13" customWidth="1"/>
    <col min="504" max="505" width="11" style="13" customWidth="1"/>
    <col min="506" max="506" width="15" style="13" customWidth="1"/>
    <col min="507" max="507" width="11" style="13" customWidth="1"/>
    <col min="508" max="508" width="12.7109375" style="13" customWidth="1"/>
    <col min="509" max="509" width="12.85546875" style="13" customWidth="1"/>
    <col min="510" max="510" width="13.42578125" style="13" customWidth="1"/>
    <col min="511" max="514" width="9.140625" style="13"/>
    <col min="515" max="515" width="15.28515625" style="13" customWidth="1"/>
    <col min="516" max="516" width="9.28515625" style="13" bestFit="1" customWidth="1"/>
    <col min="517" max="517" width="9.140625" style="13"/>
    <col min="518" max="518" width="12.7109375" style="13" customWidth="1"/>
    <col min="519" max="757" width="9.140625" style="13"/>
    <col min="758" max="758" width="15.42578125" style="13" customWidth="1"/>
    <col min="759" max="759" width="14.42578125" style="13" customWidth="1"/>
    <col min="760" max="761" width="11" style="13" customWidth="1"/>
    <col min="762" max="762" width="15" style="13" customWidth="1"/>
    <col min="763" max="763" width="11" style="13" customWidth="1"/>
    <col min="764" max="764" width="12.7109375" style="13" customWidth="1"/>
    <col min="765" max="765" width="12.85546875" style="13" customWidth="1"/>
    <col min="766" max="766" width="13.42578125" style="13" customWidth="1"/>
    <col min="767" max="770" width="9.140625" style="13"/>
    <col min="771" max="771" width="15.28515625" style="13" customWidth="1"/>
    <col min="772" max="772" width="9.28515625" style="13" bestFit="1" customWidth="1"/>
    <col min="773" max="773" width="9.140625" style="13"/>
    <col min="774" max="774" width="12.7109375" style="13" customWidth="1"/>
    <col min="775" max="1013" width="9.140625" style="13"/>
    <col min="1014" max="1014" width="15.42578125" style="13" customWidth="1"/>
    <col min="1015" max="1015" width="14.42578125" style="13" customWidth="1"/>
    <col min="1016" max="1017" width="11" style="13" customWidth="1"/>
    <col min="1018" max="1018" width="15" style="13" customWidth="1"/>
    <col min="1019" max="1019" width="11" style="13" customWidth="1"/>
    <col min="1020" max="1020" width="12.7109375" style="13" customWidth="1"/>
    <col min="1021" max="1021" width="12.85546875" style="13" customWidth="1"/>
    <col min="1022" max="1022" width="13.42578125" style="13" customWidth="1"/>
    <col min="1023" max="1026" width="9.140625" style="13"/>
    <col min="1027" max="1027" width="15.28515625" style="13" customWidth="1"/>
    <col min="1028" max="1028" width="9.28515625" style="13" bestFit="1" customWidth="1"/>
    <col min="1029" max="1029" width="9.140625" style="13"/>
    <col min="1030" max="1030" width="12.7109375" style="13" customWidth="1"/>
    <col min="1031" max="1269" width="9.140625" style="13"/>
    <col min="1270" max="1270" width="15.42578125" style="13" customWidth="1"/>
    <col min="1271" max="1271" width="14.42578125" style="13" customWidth="1"/>
    <col min="1272" max="1273" width="11" style="13" customWidth="1"/>
    <col min="1274" max="1274" width="15" style="13" customWidth="1"/>
    <col min="1275" max="1275" width="11" style="13" customWidth="1"/>
    <col min="1276" max="1276" width="12.7109375" style="13" customWidth="1"/>
    <col min="1277" max="1277" width="12.85546875" style="13" customWidth="1"/>
    <col min="1278" max="1278" width="13.42578125" style="13" customWidth="1"/>
    <col min="1279" max="1282" width="9.140625" style="13"/>
    <col min="1283" max="1283" width="15.28515625" style="13" customWidth="1"/>
    <col min="1284" max="1284" width="9.28515625" style="13" bestFit="1" customWidth="1"/>
    <col min="1285" max="1285" width="9.140625" style="13"/>
    <col min="1286" max="1286" width="12.7109375" style="13" customWidth="1"/>
    <col min="1287" max="1525" width="9.140625" style="13"/>
    <col min="1526" max="1526" width="15.42578125" style="13" customWidth="1"/>
    <col min="1527" max="1527" width="14.42578125" style="13" customWidth="1"/>
    <col min="1528" max="1529" width="11" style="13" customWidth="1"/>
    <col min="1530" max="1530" width="15" style="13" customWidth="1"/>
    <col min="1531" max="1531" width="11" style="13" customWidth="1"/>
    <col min="1532" max="1532" width="12.7109375" style="13" customWidth="1"/>
    <col min="1533" max="1533" width="12.85546875" style="13" customWidth="1"/>
    <col min="1534" max="1534" width="13.42578125" style="13" customWidth="1"/>
    <col min="1535" max="1538" width="9.140625" style="13"/>
    <col min="1539" max="1539" width="15.28515625" style="13" customWidth="1"/>
    <col min="1540" max="1540" width="9.28515625" style="13" bestFit="1" customWidth="1"/>
    <col min="1541" max="1541" width="9.140625" style="13"/>
    <col min="1542" max="1542" width="12.7109375" style="13" customWidth="1"/>
    <col min="1543" max="1781" width="9.140625" style="13"/>
    <col min="1782" max="1782" width="15.42578125" style="13" customWidth="1"/>
    <col min="1783" max="1783" width="14.42578125" style="13" customWidth="1"/>
    <col min="1784" max="1785" width="11" style="13" customWidth="1"/>
    <col min="1786" max="1786" width="15" style="13" customWidth="1"/>
    <col min="1787" max="1787" width="11" style="13" customWidth="1"/>
    <col min="1788" max="1788" width="12.7109375" style="13" customWidth="1"/>
    <col min="1789" max="1789" width="12.85546875" style="13" customWidth="1"/>
    <col min="1790" max="1790" width="13.42578125" style="13" customWidth="1"/>
    <col min="1791" max="1794" width="9.140625" style="13"/>
    <col min="1795" max="1795" width="15.28515625" style="13" customWidth="1"/>
    <col min="1796" max="1796" width="9.28515625" style="13" bestFit="1" customWidth="1"/>
    <col min="1797" max="1797" width="9.140625" style="13"/>
    <col min="1798" max="1798" width="12.7109375" style="13" customWidth="1"/>
    <col min="1799" max="2037" width="9.140625" style="13"/>
    <col min="2038" max="2038" width="15.42578125" style="13" customWidth="1"/>
    <col min="2039" max="2039" width="14.42578125" style="13" customWidth="1"/>
    <col min="2040" max="2041" width="11" style="13" customWidth="1"/>
    <col min="2042" max="2042" width="15" style="13" customWidth="1"/>
    <col min="2043" max="2043" width="11" style="13" customWidth="1"/>
    <col min="2044" max="2044" width="12.7109375" style="13" customWidth="1"/>
    <col min="2045" max="2045" width="12.85546875" style="13" customWidth="1"/>
    <col min="2046" max="2046" width="13.42578125" style="13" customWidth="1"/>
    <col min="2047" max="2050" width="9.140625" style="13"/>
    <col min="2051" max="2051" width="15.28515625" style="13" customWidth="1"/>
    <col min="2052" max="2052" width="9.28515625" style="13" bestFit="1" customWidth="1"/>
    <col min="2053" max="2053" width="9.140625" style="13"/>
    <col min="2054" max="2054" width="12.7109375" style="13" customWidth="1"/>
    <col min="2055" max="2293" width="9.140625" style="13"/>
    <col min="2294" max="2294" width="15.42578125" style="13" customWidth="1"/>
    <col min="2295" max="2295" width="14.42578125" style="13" customWidth="1"/>
    <col min="2296" max="2297" width="11" style="13" customWidth="1"/>
    <col min="2298" max="2298" width="15" style="13" customWidth="1"/>
    <col min="2299" max="2299" width="11" style="13" customWidth="1"/>
    <col min="2300" max="2300" width="12.7109375" style="13" customWidth="1"/>
    <col min="2301" max="2301" width="12.85546875" style="13" customWidth="1"/>
    <col min="2302" max="2302" width="13.42578125" style="13" customWidth="1"/>
    <col min="2303" max="2306" width="9.140625" style="13"/>
    <col min="2307" max="2307" width="15.28515625" style="13" customWidth="1"/>
    <col min="2308" max="2308" width="9.28515625" style="13" bestFit="1" customWidth="1"/>
    <col min="2309" max="2309" width="9.140625" style="13"/>
    <col min="2310" max="2310" width="12.7109375" style="13" customWidth="1"/>
    <col min="2311" max="2549" width="9.140625" style="13"/>
    <col min="2550" max="2550" width="15.42578125" style="13" customWidth="1"/>
    <col min="2551" max="2551" width="14.42578125" style="13" customWidth="1"/>
    <col min="2552" max="2553" width="11" style="13" customWidth="1"/>
    <col min="2554" max="2554" width="15" style="13" customWidth="1"/>
    <col min="2555" max="2555" width="11" style="13" customWidth="1"/>
    <col min="2556" max="2556" width="12.7109375" style="13" customWidth="1"/>
    <col min="2557" max="2557" width="12.85546875" style="13" customWidth="1"/>
    <col min="2558" max="2558" width="13.42578125" style="13" customWidth="1"/>
    <col min="2559" max="2562" width="9.140625" style="13"/>
    <col min="2563" max="2563" width="15.28515625" style="13" customWidth="1"/>
    <col min="2564" max="2564" width="9.28515625" style="13" bestFit="1" customWidth="1"/>
    <col min="2565" max="2565" width="9.140625" style="13"/>
    <col min="2566" max="2566" width="12.7109375" style="13" customWidth="1"/>
    <col min="2567" max="2805" width="9.140625" style="13"/>
    <col min="2806" max="2806" width="15.42578125" style="13" customWidth="1"/>
    <col min="2807" max="2807" width="14.42578125" style="13" customWidth="1"/>
    <col min="2808" max="2809" width="11" style="13" customWidth="1"/>
    <col min="2810" max="2810" width="15" style="13" customWidth="1"/>
    <col min="2811" max="2811" width="11" style="13" customWidth="1"/>
    <col min="2812" max="2812" width="12.7109375" style="13" customWidth="1"/>
    <col min="2813" max="2813" width="12.85546875" style="13" customWidth="1"/>
    <col min="2814" max="2814" width="13.42578125" style="13" customWidth="1"/>
    <col min="2815" max="2818" width="9.140625" style="13"/>
    <col min="2819" max="2819" width="15.28515625" style="13" customWidth="1"/>
    <col min="2820" max="2820" width="9.28515625" style="13" bestFit="1" customWidth="1"/>
    <col min="2821" max="2821" width="9.140625" style="13"/>
    <col min="2822" max="2822" width="12.7109375" style="13" customWidth="1"/>
    <col min="2823" max="3061" width="9.140625" style="13"/>
    <col min="3062" max="3062" width="15.42578125" style="13" customWidth="1"/>
    <col min="3063" max="3063" width="14.42578125" style="13" customWidth="1"/>
    <col min="3064" max="3065" width="11" style="13" customWidth="1"/>
    <col min="3066" max="3066" width="15" style="13" customWidth="1"/>
    <col min="3067" max="3067" width="11" style="13" customWidth="1"/>
    <col min="3068" max="3068" width="12.7109375" style="13" customWidth="1"/>
    <col min="3069" max="3069" width="12.85546875" style="13" customWidth="1"/>
    <col min="3070" max="3070" width="13.42578125" style="13" customWidth="1"/>
    <col min="3071" max="3074" width="9.140625" style="13"/>
    <col min="3075" max="3075" width="15.28515625" style="13" customWidth="1"/>
    <col min="3076" max="3076" width="9.28515625" style="13" bestFit="1" customWidth="1"/>
    <col min="3077" max="3077" width="9.140625" style="13"/>
    <col min="3078" max="3078" width="12.7109375" style="13" customWidth="1"/>
    <col min="3079" max="3317" width="9.140625" style="13"/>
    <col min="3318" max="3318" width="15.42578125" style="13" customWidth="1"/>
    <col min="3319" max="3319" width="14.42578125" style="13" customWidth="1"/>
    <col min="3320" max="3321" width="11" style="13" customWidth="1"/>
    <col min="3322" max="3322" width="15" style="13" customWidth="1"/>
    <col min="3323" max="3323" width="11" style="13" customWidth="1"/>
    <col min="3324" max="3324" width="12.7109375" style="13" customWidth="1"/>
    <col min="3325" max="3325" width="12.85546875" style="13" customWidth="1"/>
    <col min="3326" max="3326" width="13.42578125" style="13" customWidth="1"/>
    <col min="3327" max="3330" width="9.140625" style="13"/>
    <col min="3331" max="3331" width="15.28515625" style="13" customWidth="1"/>
    <col min="3332" max="3332" width="9.28515625" style="13" bestFit="1" customWidth="1"/>
    <col min="3333" max="3333" width="9.140625" style="13"/>
    <col min="3334" max="3334" width="12.7109375" style="13" customWidth="1"/>
    <col min="3335" max="3573" width="9.140625" style="13"/>
    <col min="3574" max="3574" width="15.42578125" style="13" customWidth="1"/>
    <col min="3575" max="3575" width="14.42578125" style="13" customWidth="1"/>
    <col min="3576" max="3577" width="11" style="13" customWidth="1"/>
    <col min="3578" max="3578" width="15" style="13" customWidth="1"/>
    <col min="3579" max="3579" width="11" style="13" customWidth="1"/>
    <col min="3580" max="3580" width="12.7109375" style="13" customWidth="1"/>
    <col min="3581" max="3581" width="12.85546875" style="13" customWidth="1"/>
    <col min="3582" max="3582" width="13.42578125" style="13" customWidth="1"/>
    <col min="3583" max="3586" width="9.140625" style="13"/>
    <col min="3587" max="3587" width="15.28515625" style="13" customWidth="1"/>
    <col min="3588" max="3588" width="9.28515625" style="13" bestFit="1" customWidth="1"/>
    <col min="3589" max="3589" width="9.140625" style="13"/>
    <col min="3590" max="3590" width="12.7109375" style="13" customWidth="1"/>
    <col min="3591" max="3829" width="9.140625" style="13"/>
    <col min="3830" max="3830" width="15.42578125" style="13" customWidth="1"/>
    <col min="3831" max="3831" width="14.42578125" style="13" customWidth="1"/>
    <col min="3832" max="3833" width="11" style="13" customWidth="1"/>
    <col min="3834" max="3834" width="15" style="13" customWidth="1"/>
    <col min="3835" max="3835" width="11" style="13" customWidth="1"/>
    <col min="3836" max="3836" width="12.7109375" style="13" customWidth="1"/>
    <col min="3837" max="3837" width="12.85546875" style="13" customWidth="1"/>
    <col min="3838" max="3838" width="13.42578125" style="13" customWidth="1"/>
    <col min="3839" max="3842" width="9.140625" style="13"/>
    <col min="3843" max="3843" width="15.28515625" style="13" customWidth="1"/>
    <col min="3844" max="3844" width="9.28515625" style="13" bestFit="1" customWidth="1"/>
    <col min="3845" max="3845" width="9.140625" style="13"/>
    <col min="3846" max="3846" width="12.7109375" style="13" customWidth="1"/>
    <col min="3847" max="4085" width="9.140625" style="13"/>
    <col min="4086" max="4086" width="15.42578125" style="13" customWidth="1"/>
    <col min="4087" max="4087" width="14.42578125" style="13" customWidth="1"/>
    <col min="4088" max="4089" width="11" style="13" customWidth="1"/>
    <col min="4090" max="4090" width="15" style="13" customWidth="1"/>
    <col min="4091" max="4091" width="11" style="13" customWidth="1"/>
    <col min="4092" max="4092" width="12.7109375" style="13" customWidth="1"/>
    <col min="4093" max="4093" width="12.85546875" style="13" customWidth="1"/>
    <col min="4094" max="4094" width="13.42578125" style="13" customWidth="1"/>
    <col min="4095" max="4098" width="9.140625" style="13"/>
    <col min="4099" max="4099" width="15.28515625" style="13" customWidth="1"/>
    <col min="4100" max="4100" width="9.28515625" style="13" bestFit="1" customWidth="1"/>
    <col min="4101" max="4101" width="9.140625" style="13"/>
    <col min="4102" max="4102" width="12.7109375" style="13" customWidth="1"/>
    <col min="4103" max="4341" width="9.140625" style="13"/>
    <col min="4342" max="4342" width="15.42578125" style="13" customWidth="1"/>
    <col min="4343" max="4343" width="14.42578125" style="13" customWidth="1"/>
    <col min="4344" max="4345" width="11" style="13" customWidth="1"/>
    <col min="4346" max="4346" width="15" style="13" customWidth="1"/>
    <col min="4347" max="4347" width="11" style="13" customWidth="1"/>
    <col min="4348" max="4348" width="12.7109375" style="13" customWidth="1"/>
    <col min="4349" max="4349" width="12.85546875" style="13" customWidth="1"/>
    <col min="4350" max="4350" width="13.42578125" style="13" customWidth="1"/>
    <col min="4351" max="4354" width="9.140625" style="13"/>
    <col min="4355" max="4355" width="15.28515625" style="13" customWidth="1"/>
    <col min="4356" max="4356" width="9.28515625" style="13" bestFit="1" customWidth="1"/>
    <col min="4357" max="4357" width="9.140625" style="13"/>
    <col min="4358" max="4358" width="12.7109375" style="13" customWidth="1"/>
    <col min="4359" max="4597" width="9.140625" style="13"/>
    <col min="4598" max="4598" width="15.42578125" style="13" customWidth="1"/>
    <col min="4599" max="4599" width="14.42578125" style="13" customWidth="1"/>
    <col min="4600" max="4601" width="11" style="13" customWidth="1"/>
    <col min="4602" max="4602" width="15" style="13" customWidth="1"/>
    <col min="4603" max="4603" width="11" style="13" customWidth="1"/>
    <col min="4604" max="4604" width="12.7109375" style="13" customWidth="1"/>
    <col min="4605" max="4605" width="12.85546875" style="13" customWidth="1"/>
    <col min="4606" max="4606" width="13.42578125" style="13" customWidth="1"/>
    <col min="4607" max="4610" width="9.140625" style="13"/>
    <col min="4611" max="4611" width="15.28515625" style="13" customWidth="1"/>
    <col min="4612" max="4612" width="9.28515625" style="13" bestFit="1" customWidth="1"/>
    <col min="4613" max="4613" width="9.140625" style="13"/>
    <col min="4614" max="4614" width="12.7109375" style="13" customWidth="1"/>
    <col min="4615" max="4853" width="9.140625" style="13"/>
    <col min="4854" max="4854" width="15.42578125" style="13" customWidth="1"/>
    <col min="4855" max="4855" width="14.42578125" style="13" customWidth="1"/>
    <col min="4856" max="4857" width="11" style="13" customWidth="1"/>
    <col min="4858" max="4858" width="15" style="13" customWidth="1"/>
    <col min="4859" max="4859" width="11" style="13" customWidth="1"/>
    <col min="4860" max="4860" width="12.7109375" style="13" customWidth="1"/>
    <col min="4861" max="4861" width="12.85546875" style="13" customWidth="1"/>
    <col min="4862" max="4862" width="13.42578125" style="13" customWidth="1"/>
    <col min="4863" max="4866" width="9.140625" style="13"/>
    <col min="4867" max="4867" width="15.28515625" style="13" customWidth="1"/>
    <col min="4868" max="4868" width="9.28515625" style="13" bestFit="1" customWidth="1"/>
    <col min="4869" max="4869" width="9.140625" style="13"/>
    <col min="4870" max="4870" width="12.7109375" style="13" customWidth="1"/>
    <col min="4871" max="5109" width="9.140625" style="13"/>
    <col min="5110" max="5110" width="15.42578125" style="13" customWidth="1"/>
    <col min="5111" max="5111" width="14.42578125" style="13" customWidth="1"/>
    <col min="5112" max="5113" width="11" style="13" customWidth="1"/>
    <col min="5114" max="5114" width="15" style="13" customWidth="1"/>
    <col min="5115" max="5115" width="11" style="13" customWidth="1"/>
    <col min="5116" max="5116" width="12.7109375" style="13" customWidth="1"/>
    <col min="5117" max="5117" width="12.85546875" style="13" customWidth="1"/>
    <col min="5118" max="5118" width="13.42578125" style="13" customWidth="1"/>
    <col min="5119" max="5122" width="9.140625" style="13"/>
    <col min="5123" max="5123" width="15.28515625" style="13" customWidth="1"/>
    <col min="5124" max="5124" width="9.28515625" style="13" bestFit="1" customWidth="1"/>
    <col min="5125" max="5125" width="9.140625" style="13"/>
    <col min="5126" max="5126" width="12.7109375" style="13" customWidth="1"/>
    <col min="5127" max="5365" width="9.140625" style="13"/>
    <col min="5366" max="5366" width="15.42578125" style="13" customWidth="1"/>
    <col min="5367" max="5367" width="14.42578125" style="13" customWidth="1"/>
    <col min="5368" max="5369" width="11" style="13" customWidth="1"/>
    <col min="5370" max="5370" width="15" style="13" customWidth="1"/>
    <col min="5371" max="5371" width="11" style="13" customWidth="1"/>
    <col min="5372" max="5372" width="12.7109375" style="13" customWidth="1"/>
    <col min="5373" max="5373" width="12.85546875" style="13" customWidth="1"/>
    <col min="5374" max="5374" width="13.42578125" style="13" customWidth="1"/>
    <col min="5375" max="5378" width="9.140625" style="13"/>
    <col min="5379" max="5379" width="15.28515625" style="13" customWidth="1"/>
    <col min="5380" max="5380" width="9.28515625" style="13" bestFit="1" customWidth="1"/>
    <col min="5381" max="5381" width="9.140625" style="13"/>
    <col min="5382" max="5382" width="12.7109375" style="13" customWidth="1"/>
    <col min="5383" max="5621" width="9.140625" style="13"/>
    <col min="5622" max="5622" width="15.42578125" style="13" customWidth="1"/>
    <col min="5623" max="5623" width="14.42578125" style="13" customWidth="1"/>
    <col min="5624" max="5625" width="11" style="13" customWidth="1"/>
    <col min="5626" max="5626" width="15" style="13" customWidth="1"/>
    <col min="5627" max="5627" width="11" style="13" customWidth="1"/>
    <col min="5628" max="5628" width="12.7109375" style="13" customWidth="1"/>
    <col min="5629" max="5629" width="12.85546875" style="13" customWidth="1"/>
    <col min="5630" max="5630" width="13.42578125" style="13" customWidth="1"/>
    <col min="5631" max="5634" width="9.140625" style="13"/>
    <col min="5635" max="5635" width="15.28515625" style="13" customWidth="1"/>
    <col min="5636" max="5636" width="9.28515625" style="13" bestFit="1" customWidth="1"/>
    <col min="5637" max="5637" width="9.140625" style="13"/>
    <col min="5638" max="5638" width="12.7109375" style="13" customWidth="1"/>
    <col min="5639" max="5877" width="9.140625" style="13"/>
    <col min="5878" max="5878" width="15.42578125" style="13" customWidth="1"/>
    <col min="5879" max="5879" width="14.42578125" style="13" customWidth="1"/>
    <col min="5880" max="5881" width="11" style="13" customWidth="1"/>
    <col min="5882" max="5882" width="15" style="13" customWidth="1"/>
    <col min="5883" max="5883" width="11" style="13" customWidth="1"/>
    <col min="5884" max="5884" width="12.7109375" style="13" customWidth="1"/>
    <col min="5885" max="5885" width="12.85546875" style="13" customWidth="1"/>
    <col min="5886" max="5886" width="13.42578125" style="13" customWidth="1"/>
    <col min="5887" max="5890" width="9.140625" style="13"/>
    <col min="5891" max="5891" width="15.28515625" style="13" customWidth="1"/>
    <col min="5892" max="5892" width="9.28515625" style="13" bestFit="1" customWidth="1"/>
    <col min="5893" max="5893" width="9.140625" style="13"/>
    <col min="5894" max="5894" width="12.7109375" style="13" customWidth="1"/>
    <col min="5895" max="6133" width="9.140625" style="13"/>
    <col min="6134" max="6134" width="15.42578125" style="13" customWidth="1"/>
    <col min="6135" max="6135" width="14.42578125" style="13" customWidth="1"/>
    <col min="6136" max="6137" width="11" style="13" customWidth="1"/>
    <col min="6138" max="6138" width="15" style="13" customWidth="1"/>
    <col min="6139" max="6139" width="11" style="13" customWidth="1"/>
    <col min="6140" max="6140" width="12.7109375" style="13" customWidth="1"/>
    <col min="6141" max="6141" width="12.85546875" style="13" customWidth="1"/>
    <col min="6142" max="6142" width="13.42578125" style="13" customWidth="1"/>
    <col min="6143" max="6146" width="9.140625" style="13"/>
    <col min="6147" max="6147" width="15.28515625" style="13" customWidth="1"/>
    <col min="6148" max="6148" width="9.28515625" style="13" bestFit="1" customWidth="1"/>
    <col min="6149" max="6149" width="9.140625" style="13"/>
    <col min="6150" max="6150" width="12.7109375" style="13" customWidth="1"/>
    <col min="6151" max="6389" width="9.140625" style="13"/>
    <col min="6390" max="6390" width="15.42578125" style="13" customWidth="1"/>
    <col min="6391" max="6391" width="14.42578125" style="13" customWidth="1"/>
    <col min="6392" max="6393" width="11" style="13" customWidth="1"/>
    <col min="6394" max="6394" width="15" style="13" customWidth="1"/>
    <col min="6395" max="6395" width="11" style="13" customWidth="1"/>
    <col min="6396" max="6396" width="12.7109375" style="13" customWidth="1"/>
    <col min="6397" max="6397" width="12.85546875" style="13" customWidth="1"/>
    <col min="6398" max="6398" width="13.42578125" style="13" customWidth="1"/>
    <col min="6399" max="6402" width="9.140625" style="13"/>
    <col min="6403" max="6403" width="15.28515625" style="13" customWidth="1"/>
    <col min="6404" max="6404" width="9.28515625" style="13" bestFit="1" customWidth="1"/>
    <col min="6405" max="6405" width="9.140625" style="13"/>
    <col min="6406" max="6406" width="12.7109375" style="13" customWidth="1"/>
    <col min="6407" max="6645" width="9.140625" style="13"/>
    <col min="6646" max="6646" width="15.42578125" style="13" customWidth="1"/>
    <col min="6647" max="6647" width="14.42578125" style="13" customWidth="1"/>
    <col min="6648" max="6649" width="11" style="13" customWidth="1"/>
    <col min="6650" max="6650" width="15" style="13" customWidth="1"/>
    <col min="6651" max="6651" width="11" style="13" customWidth="1"/>
    <col min="6652" max="6652" width="12.7109375" style="13" customWidth="1"/>
    <col min="6653" max="6653" width="12.85546875" style="13" customWidth="1"/>
    <col min="6654" max="6654" width="13.42578125" style="13" customWidth="1"/>
    <col min="6655" max="6658" width="9.140625" style="13"/>
    <col min="6659" max="6659" width="15.28515625" style="13" customWidth="1"/>
    <col min="6660" max="6660" width="9.28515625" style="13" bestFit="1" customWidth="1"/>
    <col min="6661" max="6661" width="9.140625" style="13"/>
    <col min="6662" max="6662" width="12.7109375" style="13" customWidth="1"/>
    <col min="6663" max="6901" width="9.140625" style="13"/>
    <col min="6902" max="6902" width="15.42578125" style="13" customWidth="1"/>
    <col min="6903" max="6903" width="14.42578125" style="13" customWidth="1"/>
    <col min="6904" max="6905" width="11" style="13" customWidth="1"/>
    <col min="6906" max="6906" width="15" style="13" customWidth="1"/>
    <col min="6907" max="6907" width="11" style="13" customWidth="1"/>
    <col min="6908" max="6908" width="12.7109375" style="13" customWidth="1"/>
    <col min="6909" max="6909" width="12.85546875" style="13" customWidth="1"/>
    <col min="6910" max="6910" width="13.42578125" style="13" customWidth="1"/>
    <col min="6911" max="6914" width="9.140625" style="13"/>
    <col min="6915" max="6915" width="15.28515625" style="13" customWidth="1"/>
    <col min="6916" max="6916" width="9.28515625" style="13" bestFit="1" customWidth="1"/>
    <col min="6917" max="6917" width="9.140625" style="13"/>
    <col min="6918" max="6918" width="12.7109375" style="13" customWidth="1"/>
    <col min="6919" max="7157" width="9.140625" style="13"/>
    <col min="7158" max="7158" width="15.42578125" style="13" customWidth="1"/>
    <col min="7159" max="7159" width="14.42578125" style="13" customWidth="1"/>
    <col min="7160" max="7161" width="11" style="13" customWidth="1"/>
    <col min="7162" max="7162" width="15" style="13" customWidth="1"/>
    <col min="7163" max="7163" width="11" style="13" customWidth="1"/>
    <col min="7164" max="7164" width="12.7109375" style="13" customWidth="1"/>
    <col min="7165" max="7165" width="12.85546875" style="13" customWidth="1"/>
    <col min="7166" max="7166" width="13.42578125" style="13" customWidth="1"/>
    <col min="7167" max="7170" width="9.140625" style="13"/>
    <col min="7171" max="7171" width="15.28515625" style="13" customWidth="1"/>
    <col min="7172" max="7172" width="9.28515625" style="13" bestFit="1" customWidth="1"/>
    <col min="7173" max="7173" width="9.140625" style="13"/>
    <col min="7174" max="7174" width="12.7109375" style="13" customWidth="1"/>
    <col min="7175" max="7413" width="9.140625" style="13"/>
    <col min="7414" max="7414" width="15.42578125" style="13" customWidth="1"/>
    <col min="7415" max="7415" width="14.42578125" style="13" customWidth="1"/>
    <col min="7416" max="7417" width="11" style="13" customWidth="1"/>
    <col min="7418" max="7418" width="15" style="13" customWidth="1"/>
    <col min="7419" max="7419" width="11" style="13" customWidth="1"/>
    <col min="7420" max="7420" width="12.7109375" style="13" customWidth="1"/>
    <col min="7421" max="7421" width="12.85546875" style="13" customWidth="1"/>
    <col min="7422" max="7422" width="13.42578125" style="13" customWidth="1"/>
    <col min="7423" max="7426" width="9.140625" style="13"/>
    <col min="7427" max="7427" width="15.28515625" style="13" customWidth="1"/>
    <col min="7428" max="7428" width="9.28515625" style="13" bestFit="1" customWidth="1"/>
    <col min="7429" max="7429" width="9.140625" style="13"/>
    <col min="7430" max="7430" width="12.7109375" style="13" customWidth="1"/>
    <col min="7431" max="7669" width="9.140625" style="13"/>
    <col min="7670" max="7670" width="15.42578125" style="13" customWidth="1"/>
    <col min="7671" max="7671" width="14.42578125" style="13" customWidth="1"/>
    <col min="7672" max="7673" width="11" style="13" customWidth="1"/>
    <col min="7674" max="7674" width="15" style="13" customWidth="1"/>
    <col min="7675" max="7675" width="11" style="13" customWidth="1"/>
    <col min="7676" max="7676" width="12.7109375" style="13" customWidth="1"/>
    <col min="7677" max="7677" width="12.85546875" style="13" customWidth="1"/>
    <col min="7678" max="7678" width="13.42578125" style="13" customWidth="1"/>
    <col min="7679" max="7682" width="9.140625" style="13"/>
    <col min="7683" max="7683" width="15.28515625" style="13" customWidth="1"/>
    <col min="7684" max="7684" width="9.28515625" style="13" bestFit="1" customWidth="1"/>
    <col min="7685" max="7685" width="9.140625" style="13"/>
    <col min="7686" max="7686" width="12.7109375" style="13" customWidth="1"/>
    <col min="7687" max="7925" width="9.140625" style="13"/>
    <col min="7926" max="7926" width="15.42578125" style="13" customWidth="1"/>
    <col min="7927" max="7927" width="14.42578125" style="13" customWidth="1"/>
    <col min="7928" max="7929" width="11" style="13" customWidth="1"/>
    <col min="7930" max="7930" width="15" style="13" customWidth="1"/>
    <col min="7931" max="7931" width="11" style="13" customWidth="1"/>
    <col min="7932" max="7932" width="12.7109375" style="13" customWidth="1"/>
    <col min="7933" max="7933" width="12.85546875" style="13" customWidth="1"/>
    <col min="7934" max="7934" width="13.42578125" style="13" customWidth="1"/>
    <col min="7935" max="7938" width="9.140625" style="13"/>
    <col min="7939" max="7939" width="15.28515625" style="13" customWidth="1"/>
    <col min="7940" max="7940" width="9.28515625" style="13" bestFit="1" customWidth="1"/>
    <col min="7941" max="7941" width="9.140625" style="13"/>
    <col min="7942" max="7942" width="12.7109375" style="13" customWidth="1"/>
    <col min="7943" max="8181" width="9.140625" style="13"/>
    <col min="8182" max="8182" width="15.42578125" style="13" customWidth="1"/>
    <col min="8183" max="8183" width="14.42578125" style="13" customWidth="1"/>
    <col min="8184" max="8185" width="11" style="13" customWidth="1"/>
    <col min="8186" max="8186" width="15" style="13" customWidth="1"/>
    <col min="8187" max="8187" width="11" style="13" customWidth="1"/>
    <col min="8188" max="8188" width="12.7109375" style="13" customWidth="1"/>
    <col min="8189" max="8189" width="12.85546875" style="13" customWidth="1"/>
    <col min="8190" max="8190" width="13.42578125" style="13" customWidth="1"/>
    <col min="8191" max="8194" width="9.140625" style="13"/>
    <col min="8195" max="8195" width="15.28515625" style="13" customWidth="1"/>
    <col min="8196" max="8196" width="9.28515625" style="13" bestFit="1" customWidth="1"/>
    <col min="8197" max="8197" width="9.140625" style="13"/>
    <col min="8198" max="8198" width="12.7109375" style="13" customWidth="1"/>
    <col min="8199" max="8437" width="9.140625" style="13"/>
    <col min="8438" max="8438" width="15.42578125" style="13" customWidth="1"/>
    <col min="8439" max="8439" width="14.42578125" style="13" customWidth="1"/>
    <col min="8440" max="8441" width="11" style="13" customWidth="1"/>
    <col min="8442" max="8442" width="15" style="13" customWidth="1"/>
    <col min="8443" max="8443" width="11" style="13" customWidth="1"/>
    <col min="8444" max="8444" width="12.7109375" style="13" customWidth="1"/>
    <col min="8445" max="8445" width="12.85546875" style="13" customWidth="1"/>
    <col min="8446" max="8446" width="13.42578125" style="13" customWidth="1"/>
    <col min="8447" max="8450" width="9.140625" style="13"/>
    <col min="8451" max="8451" width="15.28515625" style="13" customWidth="1"/>
    <col min="8452" max="8452" width="9.28515625" style="13" bestFit="1" customWidth="1"/>
    <col min="8453" max="8453" width="9.140625" style="13"/>
    <col min="8454" max="8454" width="12.7109375" style="13" customWidth="1"/>
    <col min="8455" max="8693" width="9.140625" style="13"/>
    <col min="8694" max="8694" width="15.42578125" style="13" customWidth="1"/>
    <col min="8695" max="8695" width="14.42578125" style="13" customWidth="1"/>
    <col min="8696" max="8697" width="11" style="13" customWidth="1"/>
    <col min="8698" max="8698" width="15" style="13" customWidth="1"/>
    <col min="8699" max="8699" width="11" style="13" customWidth="1"/>
    <col min="8700" max="8700" width="12.7109375" style="13" customWidth="1"/>
    <col min="8701" max="8701" width="12.85546875" style="13" customWidth="1"/>
    <col min="8702" max="8702" width="13.42578125" style="13" customWidth="1"/>
    <col min="8703" max="8706" width="9.140625" style="13"/>
    <col min="8707" max="8707" width="15.28515625" style="13" customWidth="1"/>
    <col min="8708" max="8708" width="9.28515625" style="13" bestFit="1" customWidth="1"/>
    <col min="8709" max="8709" width="9.140625" style="13"/>
    <col min="8710" max="8710" width="12.7109375" style="13" customWidth="1"/>
    <col min="8711" max="8949" width="9.140625" style="13"/>
    <col min="8950" max="8950" width="15.42578125" style="13" customWidth="1"/>
    <col min="8951" max="8951" width="14.42578125" style="13" customWidth="1"/>
    <col min="8952" max="8953" width="11" style="13" customWidth="1"/>
    <col min="8954" max="8954" width="15" style="13" customWidth="1"/>
    <col min="8955" max="8955" width="11" style="13" customWidth="1"/>
    <col min="8956" max="8956" width="12.7109375" style="13" customWidth="1"/>
    <col min="8957" max="8957" width="12.85546875" style="13" customWidth="1"/>
    <col min="8958" max="8958" width="13.42578125" style="13" customWidth="1"/>
    <col min="8959" max="8962" width="9.140625" style="13"/>
    <col min="8963" max="8963" width="15.28515625" style="13" customWidth="1"/>
    <col min="8964" max="8964" width="9.28515625" style="13" bestFit="1" customWidth="1"/>
    <col min="8965" max="8965" width="9.140625" style="13"/>
    <col min="8966" max="8966" width="12.7109375" style="13" customWidth="1"/>
    <col min="8967" max="9205" width="9.140625" style="13"/>
    <col min="9206" max="9206" width="15.42578125" style="13" customWidth="1"/>
    <col min="9207" max="9207" width="14.42578125" style="13" customWidth="1"/>
    <col min="9208" max="9209" width="11" style="13" customWidth="1"/>
    <col min="9210" max="9210" width="15" style="13" customWidth="1"/>
    <col min="9211" max="9211" width="11" style="13" customWidth="1"/>
    <col min="9212" max="9212" width="12.7109375" style="13" customWidth="1"/>
    <col min="9213" max="9213" width="12.85546875" style="13" customWidth="1"/>
    <col min="9214" max="9214" width="13.42578125" style="13" customWidth="1"/>
    <col min="9215" max="9218" width="9.140625" style="13"/>
    <col min="9219" max="9219" width="15.28515625" style="13" customWidth="1"/>
    <col min="9220" max="9220" width="9.28515625" style="13" bestFit="1" customWidth="1"/>
    <col min="9221" max="9221" width="9.140625" style="13"/>
    <col min="9222" max="9222" width="12.7109375" style="13" customWidth="1"/>
    <col min="9223" max="9461" width="9.140625" style="13"/>
    <col min="9462" max="9462" width="15.42578125" style="13" customWidth="1"/>
    <col min="9463" max="9463" width="14.42578125" style="13" customWidth="1"/>
    <col min="9464" max="9465" width="11" style="13" customWidth="1"/>
    <col min="9466" max="9466" width="15" style="13" customWidth="1"/>
    <col min="9467" max="9467" width="11" style="13" customWidth="1"/>
    <col min="9468" max="9468" width="12.7109375" style="13" customWidth="1"/>
    <col min="9469" max="9469" width="12.85546875" style="13" customWidth="1"/>
    <col min="9470" max="9470" width="13.42578125" style="13" customWidth="1"/>
    <col min="9471" max="9474" width="9.140625" style="13"/>
    <col min="9475" max="9475" width="15.28515625" style="13" customWidth="1"/>
    <col min="9476" max="9476" width="9.28515625" style="13" bestFit="1" customWidth="1"/>
    <col min="9477" max="9477" width="9.140625" style="13"/>
    <col min="9478" max="9478" width="12.7109375" style="13" customWidth="1"/>
    <col min="9479" max="9717" width="9.140625" style="13"/>
    <col min="9718" max="9718" width="15.42578125" style="13" customWidth="1"/>
    <col min="9719" max="9719" width="14.42578125" style="13" customWidth="1"/>
    <col min="9720" max="9721" width="11" style="13" customWidth="1"/>
    <col min="9722" max="9722" width="15" style="13" customWidth="1"/>
    <col min="9723" max="9723" width="11" style="13" customWidth="1"/>
    <col min="9724" max="9724" width="12.7109375" style="13" customWidth="1"/>
    <col min="9725" max="9725" width="12.85546875" style="13" customWidth="1"/>
    <col min="9726" max="9726" width="13.42578125" style="13" customWidth="1"/>
    <col min="9727" max="9730" width="9.140625" style="13"/>
    <col min="9731" max="9731" width="15.28515625" style="13" customWidth="1"/>
    <col min="9732" max="9732" width="9.28515625" style="13" bestFit="1" customWidth="1"/>
    <col min="9733" max="9733" width="9.140625" style="13"/>
    <col min="9734" max="9734" width="12.7109375" style="13" customWidth="1"/>
    <col min="9735" max="9973" width="9.140625" style="13"/>
    <col min="9974" max="9974" width="15.42578125" style="13" customWidth="1"/>
    <col min="9975" max="9975" width="14.42578125" style="13" customWidth="1"/>
    <col min="9976" max="9977" width="11" style="13" customWidth="1"/>
    <col min="9978" max="9978" width="15" style="13" customWidth="1"/>
    <col min="9979" max="9979" width="11" style="13" customWidth="1"/>
    <col min="9980" max="9980" width="12.7109375" style="13" customWidth="1"/>
    <col min="9981" max="9981" width="12.85546875" style="13" customWidth="1"/>
    <col min="9982" max="9982" width="13.42578125" style="13" customWidth="1"/>
    <col min="9983" max="9986" width="9.140625" style="13"/>
    <col min="9987" max="9987" width="15.28515625" style="13" customWidth="1"/>
    <col min="9988" max="9988" width="9.28515625" style="13" bestFit="1" customWidth="1"/>
    <col min="9989" max="9989" width="9.140625" style="13"/>
    <col min="9990" max="9990" width="12.7109375" style="13" customWidth="1"/>
    <col min="9991" max="10229" width="9.140625" style="13"/>
    <col min="10230" max="10230" width="15.42578125" style="13" customWidth="1"/>
    <col min="10231" max="10231" width="14.42578125" style="13" customWidth="1"/>
    <col min="10232" max="10233" width="11" style="13" customWidth="1"/>
    <col min="10234" max="10234" width="15" style="13" customWidth="1"/>
    <col min="10235" max="10235" width="11" style="13" customWidth="1"/>
    <col min="10236" max="10236" width="12.7109375" style="13" customWidth="1"/>
    <col min="10237" max="10237" width="12.85546875" style="13" customWidth="1"/>
    <col min="10238" max="10238" width="13.42578125" style="13" customWidth="1"/>
    <col min="10239" max="10242" width="9.140625" style="13"/>
    <col min="10243" max="10243" width="15.28515625" style="13" customWidth="1"/>
    <col min="10244" max="10244" width="9.28515625" style="13" bestFit="1" customWidth="1"/>
    <col min="10245" max="10245" width="9.140625" style="13"/>
    <col min="10246" max="10246" width="12.7109375" style="13" customWidth="1"/>
    <col min="10247" max="10485" width="9.140625" style="13"/>
    <col min="10486" max="10486" width="15.42578125" style="13" customWidth="1"/>
    <col min="10487" max="10487" width="14.42578125" style="13" customWidth="1"/>
    <col min="10488" max="10489" width="11" style="13" customWidth="1"/>
    <col min="10490" max="10490" width="15" style="13" customWidth="1"/>
    <col min="10491" max="10491" width="11" style="13" customWidth="1"/>
    <col min="10492" max="10492" width="12.7109375" style="13" customWidth="1"/>
    <col min="10493" max="10493" width="12.85546875" style="13" customWidth="1"/>
    <col min="10494" max="10494" width="13.42578125" style="13" customWidth="1"/>
    <col min="10495" max="10498" width="9.140625" style="13"/>
    <col min="10499" max="10499" width="15.28515625" style="13" customWidth="1"/>
    <col min="10500" max="10500" width="9.28515625" style="13" bestFit="1" customWidth="1"/>
    <col min="10501" max="10501" width="9.140625" style="13"/>
    <col min="10502" max="10502" width="12.7109375" style="13" customWidth="1"/>
    <col min="10503" max="10741" width="9.140625" style="13"/>
    <col min="10742" max="10742" width="15.42578125" style="13" customWidth="1"/>
    <col min="10743" max="10743" width="14.42578125" style="13" customWidth="1"/>
    <col min="10744" max="10745" width="11" style="13" customWidth="1"/>
    <col min="10746" max="10746" width="15" style="13" customWidth="1"/>
    <col min="10747" max="10747" width="11" style="13" customWidth="1"/>
    <col min="10748" max="10748" width="12.7109375" style="13" customWidth="1"/>
    <col min="10749" max="10749" width="12.85546875" style="13" customWidth="1"/>
    <col min="10750" max="10750" width="13.42578125" style="13" customWidth="1"/>
    <col min="10751" max="10754" width="9.140625" style="13"/>
    <col min="10755" max="10755" width="15.28515625" style="13" customWidth="1"/>
    <col min="10756" max="10756" width="9.28515625" style="13" bestFit="1" customWidth="1"/>
    <col min="10757" max="10757" width="9.140625" style="13"/>
    <col min="10758" max="10758" width="12.7109375" style="13" customWidth="1"/>
    <col min="10759" max="10997" width="9.140625" style="13"/>
    <col min="10998" max="10998" width="15.42578125" style="13" customWidth="1"/>
    <col min="10999" max="10999" width="14.42578125" style="13" customWidth="1"/>
    <col min="11000" max="11001" width="11" style="13" customWidth="1"/>
    <col min="11002" max="11002" width="15" style="13" customWidth="1"/>
    <col min="11003" max="11003" width="11" style="13" customWidth="1"/>
    <col min="11004" max="11004" width="12.7109375" style="13" customWidth="1"/>
    <col min="11005" max="11005" width="12.85546875" style="13" customWidth="1"/>
    <col min="11006" max="11006" width="13.42578125" style="13" customWidth="1"/>
    <col min="11007" max="11010" width="9.140625" style="13"/>
    <col min="11011" max="11011" width="15.28515625" style="13" customWidth="1"/>
    <col min="11012" max="11012" width="9.28515625" style="13" bestFit="1" customWidth="1"/>
    <col min="11013" max="11013" width="9.140625" style="13"/>
    <col min="11014" max="11014" width="12.7109375" style="13" customWidth="1"/>
    <col min="11015" max="11253" width="9.140625" style="13"/>
    <col min="11254" max="11254" width="15.42578125" style="13" customWidth="1"/>
    <col min="11255" max="11255" width="14.42578125" style="13" customWidth="1"/>
    <col min="11256" max="11257" width="11" style="13" customWidth="1"/>
    <col min="11258" max="11258" width="15" style="13" customWidth="1"/>
    <col min="11259" max="11259" width="11" style="13" customWidth="1"/>
    <col min="11260" max="11260" width="12.7109375" style="13" customWidth="1"/>
    <col min="11261" max="11261" width="12.85546875" style="13" customWidth="1"/>
    <col min="11262" max="11262" width="13.42578125" style="13" customWidth="1"/>
    <col min="11263" max="11266" width="9.140625" style="13"/>
    <col min="11267" max="11267" width="15.28515625" style="13" customWidth="1"/>
    <col min="11268" max="11268" width="9.28515625" style="13" bestFit="1" customWidth="1"/>
    <col min="11269" max="11269" width="9.140625" style="13"/>
    <col min="11270" max="11270" width="12.7109375" style="13" customWidth="1"/>
    <col min="11271" max="11509" width="9.140625" style="13"/>
    <col min="11510" max="11510" width="15.42578125" style="13" customWidth="1"/>
    <col min="11511" max="11511" width="14.42578125" style="13" customWidth="1"/>
    <col min="11512" max="11513" width="11" style="13" customWidth="1"/>
    <col min="11514" max="11514" width="15" style="13" customWidth="1"/>
    <col min="11515" max="11515" width="11" style="13" customWidth="1"/>
    <col min="11516" max="11516" width="12.7109375" style="13" customWidth="1"/>
    <col min="11517" max="11517" width="12.85546875" style="13" customWidth="1"/>
    <col min="11518" max="11518" width="13.42578125" style="13" customWidth="1"/>
    <col min="11519" max="11522" width="9.140625" style="13"/>
    <col min="11523" max="11523" width="15.28515625" style="13" customWidth="1"/>
    <col min="11524" max="11524" width="9.28515625" style="13" bestFit="1" customWidth="1"/>
    <col min="11525" max="11525" width="9.140625" style="13"/>
    <col min="11526" max="11526" width="12.7109375" style="13" customWidth="1"/>
    <col min="11527" max="11765" width="9.140625" style="13"/>
    <col min="11766" max="11766" width="15.42578125" style="13" customWidth="1"/>
    <col min="11767" max="11767" width="14.42578125" style="13" customWidth="1"/>
    <col min="11768" max="11769" width="11" style="13" customWidth="1"/>
    <col min="11770" max="11770" width="15" style="13" customWidth="1"/>
    <col min="11771" max="11771" width="11" style="13" customWidth="1"/>
    <col min="11772" max="11772" width="12.7109375" style="13" customWidth="1"/>
    <col min="11773" max="11773" width="12.85546875" style="13" customWidth="1"/>
    <col min="11774" max="11774" width="13.42578125" style="13" customWidth="1"/>
    <col min="11775" max="11778" width="9.140625" style="13"/>
    <col min="11779" max="11779" width="15.28515625" style="13" customWidth="1"/>
    <col min="11780" max="11780" width="9.28515625" style="13" bestFit="1" customWidth="1"/>
    <col min="11781" max="11781" width="9.140625" style="13"/>
    <col min="11782" max="11782" width="12.7109375" style="13" customWidth="1"/>
    <col min="11783" max="12021" width="9.140625" style="13"/>
    <col min="12022" max="12022" width="15.42578125" style="13" customWidth="1"/>
    <col min="12023" max="12023" width="14.42578125" style="13" customWidth="1"/>
    <col min="12024" max="12025" width="11" style="13" customWidth="1"/>
    <col min="12026" max="12026" width="15" style="13" customWidth="1"/>
    <col min="12027" max="12027" width="11" style="13" customWidth="1"/>
    <col min="12028" max="12028" width="12.7109375" style="13" customWidth="1"/>
    <col min="12029" max="12029" width="12.85546875" style="13" customWidth="1"/>
    <col min="12030" max="12030" width="13.42578125" style="13" customWidth="1"/>
    <col min="12031" max="12034" width="9.140625" style="13"/>
    <col min="12035" max="12035" width="15.28515625" style="13" customWidth="1"/>
    <col min="12036" max="12036" width="9.28515625" style="13" bestFit="1" customWidth="1"/>
    <col min="12037" max="12037" width="9.140625" style="13"/>
    <col min="12038" max="12038" width="12.7109375" style="13" customWidth="1"/>
    <col min="12039" max="12277" width="9.140625" style="13"/>
    <col min="12278" max="12278" width="15.42578125" style="13" customWidth="1"/>
    <col min="12279" max="12279" width="14.42578125" style="13" customWidth="1"/>
    <col min="12280" max="12281" width="11" style="13" customWidth="1"/>
    <col min="12282" max="12282" width="15" style="13" customWidth="1"/>
    <col min="12283" max="12283" width="11" style="13" customWidth="1"/>
    <col min="12284" max="12284" width="12.7109375" style="13" customWidth="1"/>
    <col min="12285" max="12285" width="12.85546875" style="13" customWidth="1"/>
    <col min="12286" max="12286" width="13.42578125" style="13" customWidth="1"/>
    <col min="12287" max="12290" width="9.140625" style="13"/>
    <col min="12291" max="12291" width="15.28515625" style="13" customWidth="1"/>
    <col min="12292" max="12292" width="9.28515625" style="13" bestFit="1" customWidth="1"/>
    <col min="12293" max="12293" width="9.140625" style="13"/>
    <col min="12294" max="12294" width="12.7109375" style="13" customWidth="1"/>
    <col min="12295" max="12533" width="9.140625" style="13"/>
    <col min="12534" max="12534" width="15.42578125" style="13" customWidth="1"/>
    <col min="12535" max="12535" width="14.42578125" style="13" customWidth="1"/>
    <col min="12536" max="12537" width="11" style="13" customWidth="1"/>
    <col min="12538" max="12538" width="15" style="13" customWidth="1"/>
    <col min="12539" max="12539" width="11" style="13" customWidth="1"/>
    <col min="12540" max="12540" width="12.7109375" style="13" customWidth="1"/>
    <col min="12541" max="12541" width="12.85546875" style="13" customWidth="1"/>
    <col min="12542" max="12542" width="13.42578125" style="13" customWidth="1"/>
    <col min="12543" max="12546" width="9.140625" style="13"/>
    <col min="12547" max="12547" width="15.28515625" style="13" customWidth="1"/>
    <col min="12548" max="12548" width="9.28515625" style="13" bestFit="1" customWidth="1"/>
    <col min="12549" max="12549" width="9.140625" style="13"/>
    <col min="12550" max="12550" width="12.7109375" style="13" customWidth="1"/>
    <col min="12551" max="12789" width="9.140625" style="13"/>
    <col min="12790" max="12790" width="15.42578125" style="13" customWidth="1"/>
    <col min="12791" max="12791" width="14.42578125" style="13" customWidth="1"/>
    <col min="12792" max="12793" width="11" style="13" customWidth="1"/>
    <col min="12794" max="12794" width="15" style="13" customWidth="1"/>
    <col min="12795" max="12795" width="11" style="13" customWidth="1"/>
    <col min="12796" max="12796" width="12.7109375" style="13" customWidth="1"/>
    <col min="12797" max="12797" width="12.85546875" style="13" customWidth="1"/>
    <col min="12798" max="12798" width="13.42578125" style="13" customWidth="1"/>
    <col min="12799" max="12802" width="9.140625" style="13"/>
    <col min="12803" max="12803" width="15.28515625" style="13" customWidth="1"/>
    <col min="12804" max="12804" width="9.28515625" style="13" bestFit="1" customWidth="1"/>
    <col min="12805" max="12805" width="9.140625" style="13"/>
    <col min="12806" max="12806" width="12.7109375" style="13" customWidth="1"/>
    <col min="12807" max="13045" width="9.140625" style="13"/>
    <col min="13046" max="13046" width="15.42578125" style="13" customWidth="1"/>
    <col min="13047" max="13047" width="14.42578125" style="13" customWidth="1"/>
    <col min="13048" max="13049" width="11" style="13" customWidth="1"/>
    <col min="13050" max="13050" width="15" style="13" customWidth="1"/>
    <col min="13051" max="13051" width="11" style="13" customWidth="1"/>
    <col min="13052" max="13052" width="12.7109375" style="13" customWidth="1"/>
    <col min="13053" max="13053" width="12.85546875" style="13" customWidth="1"/>
    <col min="13054" max="13054" width="13.42578125" style="13" customWidth="1"/>
    <col min="13055" max="13058" width="9.140625" style="13"/>
    <col min="13059" max="13059" width="15.28515625" style="13" customWidth="1"/>
    <col min="13060" max="13060" width="9.28515625" style="13" bestFit="1" customWidth="1"/>
    <col min="13061" max="13061" width="9.140625" style="13"/>
    <col min="13062" max="13062" width="12.7109375" style="13" customWidth="1"/>
    <col min="13063" max="13301" width="9.140625" style="13"/>
    <col min="13302" max="13302" width="15.42578125" style="13" customWidth="1"/>
    <col min="13303" max="13303" width="14.42578125" style="13" customWidth="1"/>
    <col min="13304" max="13305" width="11" style="13" customWidth="1"/>
    <col min="13306" max="13306" width="15" style="13" customWidth="1"/>
    <col min="13307" max="13307" width="11" style="13" customWidth="1"/>
    <col min="13308" max="13308" width="12.7109375" style="13" customWidth="1"/>
    <col min="13309" max="13309" width="12.85546875" style="13" customWidth="1"/>
    <col min="13310" max="13310" width="13.42578125" style="13" customWidth="1"/>
    <col min="13311" max="13314" width="9.140625" style="13"/>
    <col min="13315" max="13315" width="15.28515625" style="13" customWidth="1"/>
    <col min="13316" max="13316" width="9.28515625" style="13" bestFit="1" customWidth="1"/>
    <col min="13317" max="13317" width="9.140625" style="13"/>
    <col min="13318" max="13318" width="12.7109375" style="13" customWidth="1"/>
    <col min="13319" max="13557" width="9.140625" style="13"/>
    <col min="13558" max="13558" width="15.42578125" style="13" customWidth="1"/>
    <col min="13559" max="13559" width="14.42578125" style="13" customWidth="1"/>
    <col min="13560" max="13561" width="11" style="13" customWidth="1"/>
    <col min="13562" max="13562" width="15" style="13" customWidth="1"/>
    <col min="13563" max="13563" width="11" style="13" customWidth="1"/>
    <col min="13564" max="13564" width="12.7109375" style="13" customWidth="1"/>
    <col min="13565" max="13565" width="12.85546875" style="13" customWidth="1"/>
    <col min="13566" max="13566" width="13.42578125" style="13" customWidth="1"/>
    <col min="13567" max="13570" width="9.140625" style="13"/>
    <col min="13571" max="13571" width="15.28515625" style="13" customWidth="1"/>
    <col min="13572" max="13572" width="9.28515625" style="13" bestFit="1" customWidth="1"/>
    <col min="13573" max="13573" width="9.140625" style="13"/>
    <col min="13574" max="13574" width="12.7109375" style="13" customWidth="1"/>
    <col min="13575" max="13813" width="9.140625" style="13"/>
    <col min="13814" max="13814" width="15.42578125" style="13" customWidth="1"/>
    <col min="13815" max="13815" width="14.42578125" style="13" customWidth="1"/>
    <col min="13816" max="13817" width="11" style="13" customWidth="1"/>
    <col min="13818" max="13818" width="15" style="13" customWidth="1"/>
    <col min="13819" max="13819" width="11" style="13" customWidth="1"/>
    <col min="13820" max="13820" width="12.7109375" style="13" customWidth="1"/>
    <col min="13821" max="13821" width="12.85546875" style="13" customWidth="1"/>
    <col min="13822" max="13822" width="13.42578125" style="13" customWidth="1"/>
    <col min="13823" max="13826" width="9.140625" style="13"/>
    <col min="13827" max="13827" width="15.28515625" style="13" customWidth="1"/>
    <col min="13828" max="13828" width="9.28515625" style="13" bestFit="1" customWidth="1"/>
    <col min="13829" max="13829" width="9.140625" style="13"/>
    <col min="13830" max="13830" width="12.7109375" style="13" customWidth="1"/>
    <col min="13831" max="14069" width="9.140625" style="13"/>
    <col min="14070" max="14070" width="15.42578125" style="13" customWidth="1"/>
    <col min="14071" max="14071" width="14.42578125" style="13" customWidth="1"/>
    <col min="14072" max="14073" width="11" style="13" customWidth="1"/>
    <col min="14074" max="14074" width="15" style="13" customWidth="1"/>
    <col min="14075" max="14075" width="11" style="13" customWidth="1"/>
    <col min="14076" max="14076" width="12.7109375" style="13" customWidth="1"/>
    <col min="14077" max="14077" width="12.85546875" style="13" customWidth="1"/>
    <col min="14078" max="14078" width="13.42578125" style="13" customWidth="1"/>
    <col min="14079" max="14082" width="9.140625" style="13"/>
    <col min="14083" max="14083" width="15.28515625" style="13" customWidth="1"/>
    <col min="14084" max="14084" width="9.28515625" style="13" bestFit="1" customWidth="1"/>
    <col min="14085" max="14085" width="9.140625" style="13"/>
    <col min="14086" max="14086" width="12.7109375" style="13" customWidth="1"/>
    <col min="14087" max="14325" width="9.140625" style="13"/>
    <col min="14326" max="14326" width="15.42578125" style="13" customWidth="1"/>
    <col min="14327" max="14327" width="14.42578125" style="13" customWidth="1"/>
    <col min="14328" max="14329" width="11" style="13" customWidth="1"/>
    <col min="14330" max="14330" width="15" style="13" customWidth="1"/>
    <col min="14331" max="14331" width="11" style="13" customWidth="1"/>
    <col min="14332" max="14332" width="12.7109375" style="13" customWidth="1"/>
    <col min="14333" max="14333" width="12.85546875" style="13" customWidth="1"/>
    <col min="14334" max="14334" width="13.42578125" style="13" customWidth="1"/>
    <col min="14335" max="14338" width="9.140625" style="13"/>
    <col min="14339" max="14339" width="15.28515625" style="13" customWidth="1"/>
    <col min="14340" max="14340" width="9.28515625" style="13" bestFit="1" customWidth="1"/>
    <col min="14341" max="14341" width="9.140625" style="13"/>
    <col min="14342" max="14342" width="12.7109375" style="13" customWidth="1"/>
    <col min="14343" max="14581" width="9.140625" style="13"/>
    <col min="14582" max="14582" width="15.42578125" style="13" customWidth="1"/>
    <col min="14583" max="14583" width="14.42578125" style="13" customWidth="1"/>
    <col min="14584" max="14585" width="11" style="13" customWidth="1"/>
    <col min="14586" max="14586" width="15" style="13" customWidth="1"/>
    <col min="14587" max="14587" width="11" style="13" customWidth="1"/>
    <col min="14588" max="14588" width="12.7109375" style="13" customWidth="1"/>
    <col min="14589" max="14589" width="12.85546875" style="13" customWidth="1"/>
    <col min="14590" max="14590" width="13.42578125" style="13" customWidth="1"/>
    <col min="14591" max="14594" width="9.140625" style="13"/>
    <col min="14595" max="14595" width="15.28515625" style="13" customWidth="1"/>
    <col min="14596" max="14596" width="9.28515625" style="13" bestFit="1" customWidth="1"/>
    <col min="14597" max="14597" width="9.140625" style="13"/>
    <col min="14598" max="14598" width="12.7109375" style="13" customWidth="1"/>
    <col min="14599" max="14837" width="9.140625" style="13"/>
    <col min="14838" max="14838" width="15.42578125" style="13" customWidth="1"/>
    <col min="14839" max="14839" width="14.42578125" style="13" customWidth="1"/>
    <col min="14840" max="14841" width="11" style="13" customWidth="1"/>
    <col min="14842" max="14842" width="15" style="13" customWidth="1"/>
    <col min="14843" max="14843" width="11" style="13" customWidth="1"/>
    <col min="14844" max="14844" width="12.7109375" style="13" customWidth="1"/>
    <col min="14845" max="14845" width="12.85546875" style="13" customWidth="1"/>
    <col min="14846" max="14846" width="13.42578125" style="13" customWidth="1"/>
    <col min="14847" max="14850" width="9.140625" style="13"/>
    <col min="14851" max="14851" width="15.28515625" style="13" customWidth="1"/>
    <col min="14852" max="14852" width="9.28515625" style="13" bestFit="1" customWidth="1"/>
    <col min="14853" max="14853" width="9.140625" style="13"/>
    <col min="14854" max="14854" width="12.7109375" style="13" customWidth="1"/>
    <col min="14855" max="15093" width="9.140625" style="13"/>
    <col min="15094" max="15094" width="15.42578125" style="13" customWidth="1"/>
    <col min="15095" max="15095" width="14.42578125" style="13" customWidth="1"/>
    <col min="15096" max="15097" width="11" style="13" customWidth="1"/>
    <col min="15098" max="15098" width="15" style="13" customWidth="1"/>
    <col min="15099" max="15099" width="11" style="13" customWidth="1"/>
    <col min="15100" max="15100" width="12.7109375" style="13" customWidth="1"/>
    <col min="15101" max="15101" width="12.85546875" style="13" customWidth="1"/>
    <col min="15102" max="15102" width="13.42578125" style="13" customWidth="1"/>
    <col min="15103" max="15106" width="9.140625" style="13"/>
    <col min="15107" max="15107" width="15.28515625" style="13" customWidth="1"/>
    <col min="15108" max="15108" width="9.28515625" style="13" bestFit="1" customWidth="1"/>
    <col min="15109" max="15109" width="9.140625" style="13"/>
    <col min="15110" max="15110" width="12.7109375" style="13" customWidth="1"/>
    <col min="15111" max="15349" width="9.140625" style="13"/>
    <col min="15350" max="15350" width="15.42578125" style="13" customWidth="1"/>
    <col min="15351" max="15351" width="14.42578125" style="13" customWidth="1"/>
    <col min="15352" max="15353" width="11" style="13" customWidth="1"/>
    <col min="15354" max="15354" width="15" style="13" customWidth="1"/>
    <col min="15355" max="15355" width="11" style="13" customWidth="1"/>
    <col min="15356" max="15356" width="12.7109375" style="13" customWidth="1"/>
    <col min="15357" max="15357" width="12.85546875" style="13" customWidth="1"/>
    <col min="15358" max="15358" width="13.42578125" style="13" customWidth="1"/>
    <col min="15359" max="15362" width="9.140625" style="13"/>
    <col min="15363" max="15363" width="15.28515625" style="13" customWidth="1"/>
    <col min="15364" max="15364" width="9.28515625" style="13" bestFit="1" customWidth="1"/>
    <col min="15365" max="15365" width="9.140625" style="13"/>
    <col min="15366" max="15366" width="12.7109375" style="13" customWidth="1"/>
    <col min="15367" max="15605" width="9.140625" style="13"/>
    <col min="15606" max="15606" width="15.42578125" style="13" customWidth="1"/>
    <col min="15607" max="15607" width="14.42578125" style="13" customWidth="1"/>
    <col min="15608" max="15609" width="11" style="13" customWidth="1"/>
    <col min="15610" max="15610" width="15" style="13" customWidth="1"/>
    <col min="15611" max="15611" width="11" style="13" customWidth="1"/>
    <col min="15612" max="15612" width="12.7109375" style="13" customWidth="1"/>
    <col min="15613" max="15613" width="12.85546875" style="13" customWidth="1"/>
    <col min="15614" max="15614" width="13.42578125" style="13" customWidth="1"/>
    <col min="15615" max="15618" width="9.140625" style="13"/>
    <col min="15619" max="15619" width="15.28515625" style="13" customWidth="1"/>
    <col min="15620" max="15620" width="9.28515625" style="13" bestFit="1" customWidth="1"/>
    <col min="15621" max="15621" width="9.140625" style="13"/>
    <col min="15622" max="15622" width="12.7109375" style="13" customWidth="1"/>
    <col min="15623" max="15861" width="9.140625" style="13"/>
    <col min="15862" max="15862" width="15.42578125" style="13" customWidth="1"/>
    <col min="15863" max="15863" width="14.42578125" style="13" customWidth="1"/>
    <col min="15864" max="15865" width="11" style="13" customWidth="1"/>
    <col min="15866" max="15866" width="15" style="13" customWidth="1"/>
    <col min="15867" max="15867" width="11" style="13" customWidth="1"/>
    <col min="15868" max="15868" width="12.7109375" style="13" customWidth="1"/>
    <col min="15869" max="15869" width="12.85546875" style="13" customWidth="1"/>
    <col min="15870" max="15870" width="13.42578125" style="13" customWidth="1"/>
    <col min="15871" max="15874" width="9.140625" style="13"/>
    <col min="15875" max="15875" width="15.28515625" style="13" customWidth="1"/>
    <col min="15876" max="15876" width="9.28515625" style="13" bestFit="1" customWidth="1"/>
    <col min="15877" max="15877" width="9.140625" style="13"/>
    <col min="15878" max="15878" width="12.7109375" style="13" customWidth="1"/>
    <col min="15879" max="16117" width="9.140625" style="13"/>
    <col min="16118" max="16118" width="15.42578125" style="13" customWidth="1"/>
    <col min="16119" max="16119" width="14.42578125" style="13" customWidth="1"/>
    <col min="16120" max="16121" width="11" style="13" customWidth="1"/>
    <col min="16122" max="16122" width="15" style="13" customWidth="1"/>
    <col min="16123" max="16123" width="11" style="13" customWidth="1"/>
    <col min="16124" max="16124" width="12.7109375" style="13" customWidth="1"/>
    <col min="16125" max="16125" width="12.85546875" style="13" customWidth="1"/>
    <col min="16126" max="16126" width="13.42578125" style="13" customWidth="1"/>
    <col min="16127" max="16130" width="9.140625" style="13"/>
    <col min="16131" max="16131" width="15.28515625" style="13" customWidth="1"/>
    <col min="16132" max="16132" width="9.28515625" style="13" bestFit="1" customWidth="1"/>
    <col min="16133" max="16133" width="9.140625" style="13"/>
    <col min="16134" max="16134" width="12.7109375" style="13" customWidth="1"/>
    <col min="16135" max="16384" width="9.140625" style="13"/>
  </cols>
  <sheetData>
    <row r="1" spans="1:16" ht="15.75">
      <c r="D1" s="14" t="s">
        <v>54</v>
      </c>
      <c r="E1" s="15"/>
      <c r="F1" s="15"/>
      <c r="G1" s="15"/>
      <c r="H1" s="15"/>
      <c r="I1" s="15"/>
      <c r="J1" s="15"/>
    </row>
    <row r="2" spans="1:16">
      <c r="B2" s="16" t="s">
        <v>55</v>
      </c>
      <c r="C2" s="17">
        <f>COUNT(B13:B73)</f>
        <v>30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8" t="s">
        <v>61</v>
      </c>
      <c r="J2" s="18" t="s">
        <v>62</v>
      </c>
      <c r="K2" s="18" t="s">
        <v>63</v>
      </c>
      <c r="L2" s="19" t="s">
        <v>64</v>
      </c>
    </row>
    <row r="3" spans="1:16">
      <c r="B3" s="16" t="s">
        <v>65</v>
      </c>
      <c r="C3" s="17">
        <f>COUNT(B13:H13)</f>
        <v>2</v>
      </c>
      <c r="D3" s="20" t="s">
        <v>66</v>
      </c>
      <c r="E3" s="21">
        <f>C3-1</f>
        <v>1</v>
      </c>
      <c r="F3" s="21">
        <f>(SUMSQ(B74:H74)/C2)-C6</f>
        <v>10.278598883760878</v>
      </c>
      <c r="G3" s="21">
        <f>F3/E3</f>
        <v>10.278598883760878</v>
      </c>
      <c r="H3" s="21">
        <f>G3/G5</f>
        <v>19.354513077786805</v>
      </c>
      <c r="I3" s="22">
        <f>FINV(0.05,E3,E$5)</f>
        <v>4.1829641621552192</v>
      </c>
      <c r="J3" s="23" t="str">
        <f>IF(H3&gt;K3,"**",IF(H3&gt;I3,"*","NS"))</f>
        <v>**</v>
      </c>
      <c r="K3" s="22">
        <f>FINV(0.01,E3,E$5)</f>
        <v>7.5976632412849163</v>
      </c>
      <c r="L3" s="13">
        <f>FDIST(H3,E3,E$5)</f>
        <v>1.3404022553614966E-4</v>
      </c>
    </row>
    <row r="4" spans="1:16">
      <c r="B4" s="16" t="s">
        <v>67</v>
      </c>
      <c r="C4" s="24">
        <f>I74</f>
        <v>254.26617649699716</v>
      </c>
      <c r="D4" s="20" t="s">
        <v>3</v>
      </c>
      <c r="E4" s="21">
        <f>C2-1</f>
        <v>29</v>
      </c>
      <c r="F4" s="21">
        <f>(SUMSQ(I13:I73)/C3)-C6</f>
        <v>365.58879873823571</v>
      </c>
      <c r="G4" s="21">
        <f>F4/E4</f>
        <v>12.606510301318473</v>
      </c>
      <c r="H4" s="21">
        <f>G4/G5</f>
        <v>23.737950206190643</v>
      </c>
      <c r="I4" s="22">
        <f>FINV(0.05,E4,E$5)</f>
        <v>1.8608114343970295</v>
      </c>
      <c r="J4" s="23" t="str">
        <f>IF(H4&gt;K4,"**",IF(H4&gt;I4,"*","NS"))</f>
        <v>**</v>
      </c>
      <c r="K4" s="22">
        <f>FINV(0.01,E4,E$5)</f>
        <v>2.4234389948531918</v>
      </c>
      <c r="L4" s="25">
        <f>FDIST(H4,E4,E$5)</f>
        <v>1.4665292062326622E-13</v>
      </c>
    </row>
    <row r="5" spans="1:16">
      <c r="B5" s="16" t="s">
        <v>68</v>
      </c>
      <c r="C5" s="24">
        <f>I74/(C2*C3)</f>
        <v>4.2377696082832861</v>
      </c>
      <c r="D5" s="20" t="s">
        <v>69</v>
      </c>
      <c r="E5" s="21">
        <f>E4*E3</f>
        <v>29</v>
      </c>
      <c r="F5" s="21">
        <f>F6-F4-F3</f>
        <v>15.401026439211819</v>
      </c>
      <c r="G5" s="22">
        <f>F5/E5</f>
        <v>0.53106987721420063</v>
      </c>
      <c r="H5" s="21"/>
      <c r="I5" s="21"/>
      <c r="J5" s="23"/>
    </row>
    <row r="6" spans="1:16">
      <c r="B6" s="16" t="s">
        <v>70</v>
      </c>
      <c r="C6" s="24">
        <f>POWER(I74,2)/(C2*C3)</f>
        <v>1077.5214751733686</v>
      </c>
      <c r="D6" s="18" t="s">
        <v>71</v>
      </c>
      <c r="E6" s="26">
        <f>C2*C3-1</f>
        <v>59</v>
      </c>
      <c r="F6" s="26">
        <f>SUMSQ(B13:H73)-C6</f>
        <v>391.26842406120841</v>
      </c>
      <c r="G6" s="26"/>
      <c r="H6" s="26"/>
      <c r="I6" s="26"/>
      <c r="J6" s="23"/>
    </row>
    <row r="7" spans="1:16" s="27" customFormat="1">
      <c r="C7" s="28"/>
      <c r="D7" s="29" t="s">
        <v>72</v>
      </c>
      <c r="E7" s="30"/>
      <c r="F7" s="30">
        <f>SQRT(G5)</f>
        <v>0.72874541316855002</v>
      </c>
      <c r="G7" s="31"/>
      <c r="H7" s="31"/>
      <c r="I7" s="31"/>
    </row>
    <row r="8" spans="1:16">
      <c r="D8" s="60" t="s">
        <v>73</v>
      </c>
      <c r="E8" s="60"/>
      <c r="F8" s="32">
        <f>SQRT((G5)/C3)</f>
        <v>0.51530082341007399</v>
      </c>
      <c r="I8" s="33"/>
    </row>
    <row r="9" spans="1:16">
      <c r="D9" s="60" t="s">
        <v>74</v>
      </c>
      <c r="E9" s="60"/>
      <c r="F9" s="32">
        <f>TINV(0.05,E5)*F8*SQRT(2)</f>
        <v>1.4904516979718516</v>
      </c>
      <c r="G9" s="13" t="s">
        <v>75</v>
      </c>
      <c r="H9" s="32">
        <f>TINV(0.01,E5)*F8*SQRT(2)</f>
        <v>2.0087035830764148</v>
      </c>
    </row>
    <row r="10" spans="1:16">
      <c r="D10" s="60" t="s">
        <v>76</v>
      </c>
      <c r="E10" s="60"/>
      <c r="F10" s="32">
        <f>SQRT(G5)/C5*100</f>
        <v>17.196437761602702</v>
      </c>
    </row>
    <row r="11" spans="1:16">
      <c r="D11" s="23"/>
      <c r="E11" s="34"/>
      <c r="O11" s="35" t="s">
        <v>68</v>
      </c>
      <c r="P11" s="36">
        <f>C5</f>
        <v>4.2377696082832861</v>
      </c>
    </row>
    <row r="12" spans="1:16">
      <c r="A12" s="37" t="s">
        <v>3</v>
      </c>
      <c r="B12" s="37" t="s">
        <v>77</v>
      </c>
      <c r="C12" s="37" t="s">
        <v>78</v>
      </c>
      <c r="D12" s="37" t="s">
        <v>79</v>
      </c>
      <c r="E12" s="37">
        <v>4</v>
      </c>
      <c r="F12" s="37">
        <v>5</v>
      </c>
      <c r="G12" s="37">
        <v>6</v>
      </c>
      <c r="H12" s="37">
        <v>8</v>
      </c>
      <c r="I12" s="37" t="s">
        <v>80</v>
      </c>
      <c r="J12" s="37" t="s">
        <v>68</v>
      </c>
      <c r="K12" s="37" t="s">
        <v>81</v>
      </c>
      <c r="O12" s="38" t="s">
        <v>72</v>
      </c>
      <c r="P12" s="39">
        <f>SQRT(G5)</f>
        <v>0.72874541316855002</v>
      </c>
    </row>
    <row r="13" spans="1:16" ht="15">
      <c r="A13" s="40">
        <v>1</v>
      </c>
      <c r="B13" s="41">
        <v>3.5670516144237565</v>
      </c>
      <c r="C13" s="41">
        <v>3.5729813664596279</v>
      </c>
      <c r="D13" s="42"/>
      <c r="E13" s="43"/>
      <c r="F13" s="43"/>
      <c r="G13" s="43"/>
      <c r="H13" s="43"/>
      <c r="I13" s="44">
        <f t="shared" ref="I13:I28" si="0">SUM(B13:H13)</f>
        <v>7.1400329808833849</v>
      </c>
      <c r="J13" s="45">
        <f t="shared" ref="J13:J73" si="1">AVERAGE(B13:H13)</f>
        <v>3.5700164904416924</v>
      </c>
      <c r="K13" s="26">
        <f t="shared" ref="K13:K73" si="2">STDEV(B13:D13)/SQRT(C$3)</f>
        <v>2.9648760179357136E-3</v>
      </c>
      <c r="O13" s="38" t="s">
        <v>82</v>
      </c>
      <c r="P13" s="39">
        <f>F7/C5*100</f>
        <v>17.196437761602702</v>
      </c>
    </row>
    <row r="14" spans="1:16" ht="15">
      <c r="A14" s="40">
        <v>2</v>
      </c>
      <c r="B14" s="41">
        <v>2.7828954850449241</v>
      </c>
      <c r="C14" s="41">
        <v>3.6905370843989771</v>
      </c>
      <c r="D14" s="42"/>
      <c r="E14" s="43"/>
      <c r="F14" s="43"/>
      <c r="G14" s="43"/>
      <c r="H14" s="43"/>
      <c r="I14" s="44">
        <f t="shared" si="0"/>
        <v>6.4734325694439008</v>
      </c>
      <c r="J14" s="45">
        <f t="shared" si="1"/>
        <v>3.2367162847219504</v>
      </c>
      <c r="K14" s="26">
        <f t="shared" si="2"/>
        <v>0.45382079967702876</v>
      </c>
      <c r="O14" s="38" t="s">
        <v>83</v>
      </c>
      <c r="P14" s="39">
        <f>F7/SQRT(C3)</f>
        <v>0.51530082341007399</v>
      </c>
    </row>
    <row r="15" spans="1:16" ht="15">
      <c r="A15" s="40">
        <v>3</v>
      </c>
      <c r="B15" s="41">
        <v>2.1872882504404392</v>
      </c>
      <c r="C15" s="41">
        <v>2.8343746015555271</v>
      </c>
      <c r="D15" s="42"/>
      <c r="E15" s="43"/>
      <c r="F15" s="43"/>
      <c r="G15" s="43"/>
      <c r="H15" s="43"/>
      <c r="I15" s="44">
        <f t="shared" si="0"/>
        <v>5.0216628519959663</v>
      </c>
      <c r="J15" s="45">
        <f t="shared" si="1"/>
        <v>2.5108314259979831</v>
      </c>
      <c r="K15" s="26">
        <f t="shared" si="2"/>
        <v>0.32354317555754314</v>
      </c>
      <c r="O15" s="38" t="s">
        <v>84</v>
      </c>
      <c r="P15" s="39">
        <f>F8*SQRT(2)</f>
        <v>0.72874541316855002</v>
      </c>
    </row>
    <row r="16" spans="1:16" ht="15">
      <c r="A16" s="40">
        <v>4</v>
      </c>
      <c r="B16" s="41">
        <v>3.4291020318986245</v>
      </c>
      <c r="C16" s="41">
        <v>4.2664796633941098</v>
      </c>
      <c r="D16" s="42"/>
      <c r="E16" s="43"/>
      <c r="F16" s="43"/>
      <c r="G16" s="43"/>
      <c r="H16" s="43"/>
      <c r="I16" s="44">
        <f t="shared" si="0"/>
        <v>7.6955816952927343</v>
      </c>
      <c r="J16" s="45">
        <f t="shared" si="1"/>
        <v>3.8477908476463671</v>
      </c>
      <c r="K16" s="26">
        <f t="shared" si="2"/>
        <v>0.41868881574774169</v>
      </c>
      <c r="O16" s="38" t="s">
        <v>85</v>
      </c>
      <c r="P16" s="39">
        <f>TINV(0.05,E5)*F8*SQRT(2)</f>
        <v>1.4904516979718516</v>
      </c>
    </row>
    <row r="17" spans="1:16" ht="15">
      <c r="A17" s="40">
        <v>5</v>
      </c>
      <c r="B17" s="41">
        <v>4.673554956573823</v>
      </c>
      <c r="C17" s="41">
        <v>5.1420499136713236</v>
      </c>
      <c r="D17" s="42"/>
      <c r="E17" s="43"/>
      <c r="F17" s="43"/>
      <c r="G17" s="43"/>
      <c r="H17" s="43"/>
      <c r="I17" s="44">
        <f t="shared" si="0"/>
        <v>9.8156048702451457</v>
      </c>
      <c r="J17" s="45">
        <f t="shared" si="1"/>
        <v>4.9078024351225729</v>
      </c>
      <c r="K17" s="26">
        <f t="shared" si="2"/>
        <v>0.2342474785487608</v>
      </c>
      <c r="O17" s="38" t="s">
        <v>86</v>
      </c>
      <c r="P17" s="39">
        <f>TINV(0.01,E5)*F8*SQRT(2)</f>
        <v>2.0087035830764148</v>
      </c>
    </row>
    <row r="18" spans="1:16" ht="15">
      <c r="A18" s="40">
        <v>6</v>
      </c>
      <c r="B18" s="41">
        <v>2.1146509949479335</v>
      </c>
      <c r="C18" s="41">
        <v>3.4478260869565216</v>
      </c>
      <c r="D18" s="42"/>
      <c r="E18" s="43"/>
      <c r="F18" s="43"/>
      <c r="G18" s="43"/>
      <c r="H18" s="43"/>
      <c r="I18" s="44">
        <f t="shared" si="0"/>
        <v>5.5624770819044551</v>
      </c>
      <c r="J18" s="45">
        <f t="shared" si="1"/>
        <v>2.7812385409522276</v>
      </c>
      <c r="K18" s="26">
        <f t="shared" si="2"/>
        <v>0.6665875460042946</v>
      </c>
      <c r="O18" s="38" t="s">
        <v>87</v>
      </c>
      <c r="P18" s="39">
        <f>(G4-G5)/C3</f>
        <v>6.037720212052136</v>
      </c>
    </row>
    <row r="19" spans="1:16" ht="15">
      <c r="A19" s="40">
        <v>7</v>
      </c>
      <c r="B19" s="41">
        <v>3.6271794036174039</v>
      </c>
      <c r="C19" s="41">
        <v>5.4260869565217398</v>
      </c>
      <c r="D19" s="42"/>
      <c r="E19" s="43"/>
      <c r="F19" s="43"/>
      <c r="G19" s="43"/>
      <c r="H19" s="43"/>
      <c r="I19" s="44">
        <f t="shared" si="0"/>
        <v>9.0532663601391441</v>
      </c>
      <c r="J19" s="45">
        <f t="shared" si="1"/>
        <v>4.526633180069572</v>
      </c>
      <c r="K19" s="26">
        <f t="shared" si="2"/>
        <v>0.89945377645216606</v>
      </c>
      <c r="O19" s="38" t="s">
        <v>88</v>
      </c>
      <c r="P19" s="39">
        <f>P18+G5</f>
        <v>6.5687900892663365</v>
      </c>
    </row>
    <row r="20" spans="1:16" ht="15">
      <c r="A20" s="40">
        <v>8</v>
      </c>
      <c r="B20" s="41">
        <v>9.0362318840579707</v>
      </c>
      <c r="C20" s="41">
        <v>11.5049764274489</v>
      </c>
      <c r="D20" s="42"/>
      <c r="E20" s="43"/>
      <c r="F20" s="43"/>
      <c r="G20" s="43"/>
      <c r="H20" s="43"/>
      <c r="I20" s="44">
        <f t="shared" si="0"/>
        <v>20.541208311506871</v>
      </c>
      <c r="J20" s="45">
        <f t="shared" si="1"/>
        <v>10.270604155753436</v>
      </c>
      <c r="K20" s="26">
        <f t="shared" si="2"/>
        <v>1.2343722716954635</v>
      </c>
      <c r="O20" s="38" t="s">
        <v>89</v>
      </c>
      <c r="P20" s="39">
        <f>SQRT(P18)</f>
        <v>2.4571772854338647</v>
      </c>
    </row>
    <row r="21" spans="1:16" ht="15">
      <c r="A21" s="40">
        <v>9</v>
      </c>
      <c r="B21" s="41">
        <v>3.2712486883525713</v>
      </c>
      <c r="C21" s="41">
        <v>4.9424839149931765</v>
      </c>
      <c r="D21" s="42"/>
      <c r="E21" s="43"/>
      <c r="F21" s="43"/>
      <c r="G21" s="43"/>
      <c r="H21" s="43"/>
      <c r="I21" s="44">
        <f t="shared" si="0"/>
        <v>8.213732603345747</v>
      </c>
      <c r="J21" s="45">
        <f t="shared" si="1"/>
        <v>4.1068663016728735</v>
      </c>
      <c r="K21" s="26">
        <f t="shared" si="2"/>
        <v>0.83561761332030482</v>
      </c>
      <c r="O21" s="38" t="s">
        <v>90</v>
      </c>
      <c r="P21" s="39">
        <f>SQRT(P19)</f>
        <v>2.5629650971611642</v>
      </c>
    </row>
    <row r="22" spans="1:16" ht="15">
      <c r="A22" s="40">
        <v>10</v>
      </c>
      <c r="B22" s="41">
        <v>3.2296587926509184</v>
      </c>
      <c r="C22" s="41">
        <v>3.4518633540372679</v>
      </c>
      <c r="D22" s="42"/>
      <c r="E22" s="43"/>
      <c r="F22" s="43"/>
      <c r="G22" s="43"/>
      <c r="H22" s="43"/>
      <c r="I22" s="44">
        <f t="shared" si="0"/>
        <v>6.6815221466881862</v>
      </c>
      <c r="J22" s="45">
        <f t="shared" si="1"/>
        <v>3.3407610733440931</v>
      </c>
      <c r="K22" s="26">
        <f t="shared" si="2"/>
        <v>0.11110228069317653</v>
      </c>
      <c r="O22" s="38" t="s">
        <v>91</v>
      </c>
      <c r="P22" s="39">
        <f>G5</f>
        <v>0.53106987721420063</v>
      </c>
    </row>
    <row r="23" spans="1:16" ht="15">
      <c r="A23" s="40">
        <v>11</v>
      </c>
      <c r="B23" s="41">
        <v>3.2840198954215025</v>
      </c>
      <c r="C23" s="41">
        <v>4.2098950524737635</v>
      </c>
      <c r="D23" s="42"/>
      <c r="E23" s="43"/>
      <c r="F23" s="43"/>
      <c r="G23" s="43"/>
      <c r="H23" s="43"/>
      <c r="I23" s="44">
        <f t="shared" si="0"/>
        <v>7.4939149478952665</v>
      </c>
      <c r="J23" s="45">
        <f t="shared" si="1"/>
        <v>3.7469574739476332</v>
      </c>
      <c r="K23" s="26">
        <f t="shared" si="2"/>
        <v>0.46293757852612738</v>
      </c>
      <c r="O23" s="38" t="s">
        <v>92</v>
      </c>
      <c r="P23" s="39">
        <f>SQRT(P22)</f>
        <v>0.72874541316855002</v>
      </c>
    </row>
    <row r="24" spans="1:16" ht="15">
      <c r="A24" s="40">
        <v>12</v>
      </c>
      <c r="B24" s="41">
        <v>4.6285046728971961</v>
      </c>
      <c r="C24" s="41">
        <v>5.8901601830663619</v>
      </c>
      <c r="D24" s="42"/>
      <c r="E24" s="43"/>
      <c r="F24" s="43"/>
      <c r="G24" s="43"/>
      <c r="H24" s="43"/>
      <c r="I24" s="44">
        <f t="shared" si="0"/>
        <v>10.518664855963557</v>
      </c>
      <c r="J24" s="45">
        <f t="shared" si="1"/>
        <v>5.2593324279817786</v>
      </c>
      <c r="K24" s="26">
        <f t="shared" si="2"/>
        <v>0.63082775508458422</v>
      </c>
      <c r="O24" s="38" t="s">
        <v>93</v>
      </c>
      <c r="P24" s="39">
        <f>P20/C5*100</f>
        <v>57.98279549296366</v>
      </c>
    </row>
    <row r="25" spans="1:16" ht="15">
      <c r="A25" s="40">
        <v>13</v>
      </c>
      <c r="B25" s="41">
        <v>4.3913920645595175</v>
      </c>
      <c r="C25" s="41">
        <v>5.4723320158102764</v>
      </c>
      <c r="D25" s="42"/>
      <c r="E25" s="43"/>
      <c r="F25" s="43"/>
      <c r="G25" s="43"/>
      <c r="H25" s="43"/>
      <c r="I25" s="44">
        <f t="shared" si="0"/>
        <v>9.8637240803697939</v>
      </c>
      <c r="J25" s="45">
        <f t="shared" si="1"/>
        <v>4.9318620401848969</v>
      </c>
      <c r="K25" s="26">
        <f t="shared" si="2"/>
        <v>0.54046997562537769</v>
      </c>
      <c r="O25" s="38" t="s">
        <v>94</v>
      </c>
      <c r="P25" s="39">
        <f>P21/C5*100</f>
        <v>60.479104200273348</v>
      </c>
    </row>
    <row r="26" spans="1:16" ht="15">
      <c r="A26" s="40">
        <v>14</v>
      </c>
      <c r="B26" s="41">
        <v>3.926632428466617</v>
      </c>
      <c r="C26" s="41">
        <v>4.2539009241024086</v>
      </c>
      <c r="D26" s="42"/>
      <c r="E26" s="43"/>
      <c r="F26" s="43"/>
      <c r="G26" s="43"/>
      <c r="H26" s="43"/>
      <c r="I26" s="44">
        <f t="shared" si="0"/>
        <v>8.1805333525690251</v>
      </c>
      <c r="J26" s="45">
        <f t="shared" si="1"/>
        <v>4.0902666762845126</v>
      </c>
      <c r="K26" s="26">
        <f t="shared" si="2"/>
        <v>0.16363424781788988</v>
      </c>
      <c r="O26" s="38" t="s">
        <v>95</v>
      </c>
      <c r="P26" s="39">
        <f>P23/C5*100</f>
        <v>17.196437761602702</v>
      </c>
    </row>
    <row r="27" spans="1:16" ht="15">
      <c r="A27" s="40">
        <v>15</v>
      </c>
      <c r="B27" s="41">
        <v>2.8749999999999996</v>
      </c>
      <c r="C27" s="41">
        <v>3.3913043478260874</v>
      </c>
      <c r="D27" s="42"/>
      <c r="E27" s="43"/>
      <c r="F27" s="43"/>
      <c r="G27" s="43"/>
      <c r="H27" s="43"/>
      <c r="I27" s="44">
        <f t="shared" si="0"/>
        <v>6.2663043478260869</v>
      </c>
      <c r="J27" s="45">
        <f t="shared" si="1"/>
        <v>3.1331521739130435</v>
      </c>
      <c r="K27" s="26">
        <f t="shared" si="2"/>
        <v>0.25815217391304374</v>
      </c>
      <c r="O27" s="38" t="s">
        <v>96</v>
      </c>
      <c r="P27" s="39">
        <f>P18/P19*100</f>
        <v>91.915255777742246</v>
      </c>
    </row>
    <row r="28" spans="1:16" ht="15">
      <c r="A28" s="40">
        <v>16</v>
      </c>
      <c r="B28" s="41">
        <v>3.0486937977607962</v>
      </c>
      <c r="C28" s="41">
        <v>2.5938058368076238</v>
      </c>
      <c r="D28" s="42"/>
      <c r="E28" s="43"/>
      <c r="F28" s="43"/>
      <c r="G28" s="43"/>
      <c r="H28" s="43"/>
      <c r="I28" s="44">
        <f t="shared" si="0"/>
        <v>5.64249963456842</v>
      </c>
      <c r="J28" s="45">
        <f t="shared" si="1"/>
        <v>2.82124981728421</v>
      </c>
      <c r="K28" s="26">
        <f t="shared" si="2"/>
        <v>0.2274439804765877</v>
      </c>
      <c r="O28" s="38" t="s">
        <v>97</v>
      </c>
      <c r="P28" s="39">
        <f>P18/P21*2.06</f>
        <v>4.8528572045728859</v>
      </c>
    </row>
    <row r="29" spans="1:16" ht="15">
      <c r="A29" s="40">
        <v>17</v>
      </c>
      <c r="B29" s="41">
        <v>1.7907180385288965</v>
      </c>
      <c r="C29" s="41">
        <v>2.7318840579710146</v>
      </c>
      <c r="D29" s="42"/>
      <c r="E29" s="43"/>
      <c r="F29" s="43"/>
      <c r="G29" s="43"/>
      <c r="H29" s="43"/>
      <c r="I29" s="44">
        <f t="shared" ref="I29:I44" si="3">SUM(B29:H29)</f>
        <v>4.5226020964999112</v>
      </c>
      <c r="J29" s="45">
        <f t="shared" si="1"/>
        <v>2.2613010482499556</v>
      </c>
      <c r="K29" s="45">
        <f t="shared" si="2"/>
        <v>0.47058300972105899</v>
      </c>
      <c r="O29" s="47" t="s">
        <v>98</v>
      </c>
      <c r="P29" s="48">
        <f>P28/C5*100</f>
        <v>114.51441803460314</v>
      </c>
    </row>
    <row r="30" spans="1:16" ht="15">
      <c r="A30" s="40">
        <v>18</v>
      </c>
      <c r="B30" s="41">
        <v>1.1976214809997214</v>
      </c>
      <c r="C30" s="41">
        <v>2.0424901185770747</v>
      </c>
      <c r="D30" s="42"/>
      <c r="E30" s="43"/>
      <c r="F30" s="43"/>
      <c r="G30" s="43"/>
      <c r="H30" s="43"/>
      <c r="I30" s="44">
        <f t="shared" si="3"/>
        <v>3.240111599576796</v>
      </c>
      <c r="J30" s="45">
        <f t="shared" si="1"/>
        <v>1.620055799788398</v>
      </c>
      <c r="K30" s="45">
        <f t="shared" si="2"/>
        <v>0.42243431878867671</v>
      </c>
    </row>
    <row r="31" spans="1:16" ht="15">
      <c r="A31" s="40">
        <v>19</v>
      </c>
      <c r="B31" s="41">
        <v>2.2224343675417666</v>
      </c>
      <c r="C31" s="41">
        <v>2.132675930076199</v>
      </c>
      <c r="D31" s="42"/>
      <c r="E31" s="43"/>
      <c r="F31" s="43"/>
      <c r="G31" s="43"/>
      <c r="H31" s="43"/>
      <c r="I31" s="44">
        <f t="shared" si="3"/>
        <v>4.3551102976179656</v>
      </c>
      <c r="J31" s="45">
        <f t="shared" si="1"/>
        <v>2.1775551488089828</v>
      </c>
      <c r="K31" s="45">
        <f t="shared" si="2"/>
        <v>4.4879218732779377E-2</v>
      </c>
    </row>
    <row r="32" spans="1:16" ht="15">
      <c r="A32" s="40">
        <v>20</v>
      </c>
      <c r="B32" s="41">
        <v>2.3874712517796515</v>
      </c>
      <c r="C32" s="41">
        <v>2.318840579710145</v>
      </c>
      <c r="D32" s="42"/>
      <c r="E32" s="43"/>
      <c r="F32" s="43"/>
      <c r="G32" s="43"/>
      <c r="H32" s="43"/>
      <c r="I32" s="44">
        <f t="shared" si="3"/>
        <v>4.7063118314897965</v>
      </c>
      <c r="J32" s="45">
        <f t="shared" si="1"/>
        <v>2.3531559157448982</v>
      </c>
      <c r="K32" s="45">
        <f t="shared" si="2"/>
        <v>3.4315336034753244E-2</v>
      </c>
    </row>
    <row r="33" spans="1:11" ht="15">
      <c r="A33" s="40">
        <v>21</v>
      </c>
      <c r="B33" s="41">
        <v>3.2723205206426673</v>
      </c>
      <c r="C33" s="41">
        <v>3.2730030333670381</v>
      </c>
      <c r="D33" s="42"/>
      <c r="E33" s="43"/>
      <c r="F33" s="43"/>
      <c r="G33" s="43"/>
      <c r="H33" s="43"/>
      <c r="I33" s="44">
        <f t="shared" si="3"/>
        <v>6.5453235540097054</v>
      </c>
      <c r="J33" s="45">
        <f t="shared" si="1"/>
        <v>3.2726617770048527</v>
      </c>
      <c r="K33" s="45">
        <f t="shared" si="2"/>
        <v>3.4125636218540478E-4</v>
      </c>
    </row>
    <row r="34" spans="1:11" ht="15">
      <c r="A34" s="40">
        <v>22</v>
      </c>
      <c r="B34" s="41">
        <v>7.1467257508616449</v>
      </c>
      <c r="C34" s="41">
        <v>10.061505832449599</v>
      </c>
      <c r="D34" s="42"/>
      <c r="E34" s="43"/>
      <c r="F34" s="43"/>
      <c r="G34" s="43"/>
      <c r="H34" s="43"/>
      <c r="I34" s="44">
        <f t="shared" si="3"/>
        <v>17.208231583311246</v>
      </c>
      <c r="J34" s="45">
        <f t="shared" si="1"/>
        <v>8.604115791655623</v>
      </c>
      <c r="K34" s="45">
        <f t="shared" si="2"/>
        <v>1.4573900407939742</v>
      </c>
    </row>
    <row r="35" spans="1:11" ht="15">
      <c r="A35" s="40">
        <v>23</v>
      </c>
      <c r="B35" s="41">
        <v>4.4215100488864758</v>
      </c>
      <c r="C35" s="41">
        <v>3.4565217391304341</v>
      </c>
      <c r="D35" s="42"/>
      <c r="E35" s="43"/>
      <c r="F35" s="43"/>
      <c r="G35" s="43"/>
      <c r="H35" s="43"/>
      <c r="I35" s="44">
        <f t="shared" si="3"/>
        <v>7.8780317880169104</v>
      </c>
      <c r="J35" s="45">
        <f t="shared" si="1"/>
        <v>3.9390158940084552</v>
      </c>
      <c r="K35" s="45">
        <f t="shared" si="2"/>
        <v>0.48249415487801722</v>
      </c>
    </row>
    <row r="36" spans="1:11" ht="15">
      <c r="A36" s="40">
        <v>24</v>
      </c>
      <c r="B36" s="41">
        <v>3.7448689611619823</v>
      </c>
      <c r="C36" s="41">
        <v>6.2173913043478262</v>
      </c>
      <c r="D36" s="42"/>
      <c r="E36" s="43"/>
      <c r="F36" s="43"/>
      <c r="G36" s="43"/>
      <c r="H36" s="43"/>
      <c r="I36" s="44">
        <f t="shared" si="3"/>
        <v>9.9622602655098085</v>
      </c>
      <c r="J36" s="45">
        <f t="shared" si="1"/>
        <v>4.9811301327549042</v>
      </c>
      <c r="K36" s="45">
        <f t="shared" si="2"/>
        <v>1.2362611715929224</v>
      </c>
    </row>
    <row r="37" spans="1:11" ht="15">
      <c r="A37" s="40">
        <v>25</v>
      </c>
      <c r="B37" s="41">
        <v>1.608888888888889</v>
      </c>
      <c r="C37" s="41">
        <v>2.1008080030781069</v>
      </c>
      <c r="D37" s="49"/>
      <c r="E37" s="43"/>
      <c r="F37" s="43"/>
      <c r="G37" s="43"/>
      <c r="H37" s="43"/>
      <c r="I37" s="44">
        <f t="shared" si="3"/>
        <v>3.7096968919669959</v>
      </c>
      <c r="J37" s="45">
        <f t="shared" si="1"/>
        <v>1.854848445983498</v>
      </c>
      <c r="K37" s="45">
        <f t="shared" si="2"/>
        <v>0.24595955709460801</v>
      </c>
    </row>
    <row r="38" spans="1:11" ht="15">
      <c r="A38" s="40">
        <v>26</v>
      </c>
      <c r="B38" s="41">
        <v>2.6130601262547866</v>
      </c>
      <c r="C38" s="41">
        <v>3.1567992599444961</v>
      </c>
      <c r="D38" s="49"/>
      <c r="E38" s="43"/>
      <c r="F38" s="43"/>
      <c r="G38" s="43"/>
      <c r="H38" s="43"/>
      <c r="I38" s="44">
        <f t="shared" si="3"/>
        <v>5.7698593861992826</v>
      </c>
      <c r="J38" s="45">
        <f t="shared" si="1"/>
        <v>2.8849296930996413</v>
      </c>
      <c r="K38" s="45">
        <f t="shared" si="2"/>
        <v>0.27186956684485475</v>
      </c>
    </row>
    <row r="39" spans="1:11" ht="15">
      <c r="A39" s="40">
        <v>27</v>
      </c>
      <c r="B39" s="41">
        <v>6.3494623655914015</v>
      </c>
      <c r="C39" s="41">
        <v>9.1029748283752863</v>
      </c>
      <c r="D39" s="49"/>
      <c r="E39" s="43"/>
      <c r="F39" s="43"/>
      <c r="G39" s="43"/>
      <c r="H39" s="43"/>
      <c r="I39" s="44">
        <f t="shared" si="3"/>
        <v>15.452437193966688</v>
      </c>
      <c r="J39" s="45">
        <f t="shared" si="1"/>
        <v>7.7262185969833439</v>
      </c>
      <c r="K39" s="45">
        <f t="shared" si="2"/>
        <v>1.3767562313919406</v>
      </c>
    </row>
    <row r="40" spans="1:11" ht="15">
      <c r="A40" s="40">
        <v>28</v>
      </c>
      <c r="B40" s="41">
        <v>2.9935732647814941</v>
      </c>
      <c r="C40" s="41">
        <v>2.437768240343348</v>
      </c>
      <c r="D40" s="49"/>
      <c r="E40" s="43"/>
      <c r="F40" s="43"/>
      <c r="G40" s="43"/>
      <c r="H40" s="43"/>
      <c r="I40" s="44">
        <f t="shared" si="3"/>
        <v>5.4313415051248422</v>
      </c>
      <c r="J40" s="45">
        <f t="shared" si="1"/>
        <v>2.7156707525624211</v>
      </c>
      <c r="K40" s="45">
        <f t="shared" si="2"/>
        <v>0.27790251221907331</v>
      </c>
    </row>
    <row r="41" spans="1:11" ht="15">
      <c r="A41" s="40">
        <v>29</v>
      </c>
      <c r="B41" s="41">
        <v>1.9017857142857142</v>
      </c>
      <c r="C41" s="41">
        <v>4.1327723235156615</v>
      </c>
      <c r="D41" s="49"/>
      <c r="E41" s="43"/>
      <c r="F41" s="43"/>
      <c r="G41" s="43"/>
      <c r="H41" s="43"/>
      <c r="I41" s="44">
        <f t="shared" si="3"/>
        <v>6.0345580378013759</v>
      </c>
      <c r="J41" s="45">
        <f t="shared" si="1"/>
        <v>3.0172790189006879</v>
      </c>
      <c r="K41" s="45">
        <f t="shared" si="2"/>
        <v>1.1154933046149733</v>
      </c>
    </row>
    <row r="42" spans="1:11" ht="15">
      <c r="A42" s="40">
        <v>30</v>
      </c>
      <c r="B42" s="41">
        <v>12.992659514398646</v>
      </c>
      <c r="C42" s="41">
        <v>12.293478260869563</v>
      </c>
      <c r="D42" s="49"/>
      <c r="E42" s="43"/>
      <c r="F42" s="43"/>
      <c r="G42" s="43"/>
      <c r="H42" s="43"/>
      <c r="I42" s="44">
        <f t="shared" si="3"/>
        <v>25.286137775268209</v>
      </c>
      <c r="J42" s="45">
        <f t="shared" si="1"/>
        <v>12.643068887634104</v>
      </c>
      <c r="K42" s="45">
        <f t="shared" si="2"/>
        <v>0.34959062676453806</v>
      </c>
    </row>
    <row r="43" spans="1:11" ht="15">
      <c r="A43" s="40">
        <v>31</v>
      </c>
      <c r="B43" s="41"/>
      <c r="C43" s="49"/>
      <c r="D43" s="49"/>
      <c r="E43" s="43"/>
      <c r="F43" s="43"/>
      <c r="G43" s="43"/>
      <c r="H43" s="43"/>
      <c r="I43" s="44">
        <f t="shared" si="3"/>
        <v>0</v>
      </c>
      <c r="J43" s="45" t="e">
        <f t="shared" si="1"/>
        <v>#DIV/0!</v>
      </c>
      <c r="K43" s="45" t="e">
        <f t="shared" si="2"/>
        <v>#DIV/0!</v>
      </c>
    </row>
    <row r="44" spans="1:11" ht="15">
      <c r="A44" s="40">
        <v>32</v>
      </c>
      <c r="B44" s="41"/>
      <c r="C44" s="49"/>
      <c r="D44" s="49"/>
      <c r="E44" s="43"/>
      <c r="F44" s="43"/>
      <c r="G44" s="43"/>
      <c r="H44" s="43"/>
      <c r="I44" s="44">
        <f t="shared" si="3"/>
        <v>0</v>
      </c>
      <c r="J44" s="45" t="e">
        <f t="shared" si="1"/>
        <v>#DIV/0!</v>
      </c>
      <c r="K44" s="45" t="e">
        <f t="shared" si="2"/>
        <v>#DIV/0!</v>
      </c>
    </row>
    <row r="45" spans="1:11" ht="15">
      <c r="A45" s="40">
        <v>33</v>
      </c>
      <c r="B45" s="41"/>
      <c r="C45" s="49"/>
      <c r="D45" s="49"/>
      <c r="E45" s="43"/>
      <c r="F45" s="43"/>
      <c r="G45" s="43"/>
      <c r="H45" s="43"/>
      <c r="I45" s="44">
        <f t="shared" ref="I45:I73" si="4">SUM(B45:H45)</f>
        <v>0</v>
      </c>
      <c r="J45" s="45" t="e">
        <f t="shared" si="1"/>
        <v>#DIV/0!</v>
      </c>
      <c r="K45" s="45" t="e">
        <f t="shared" si="2"/>
        <v>#DIV/0!</v>
      </c>
    </row>
    <row r="46" spans="1:11" ht="15">
      <c r="A46" s="40">
        <v>34</v>
      </c>
      <c r="B46" s="41"/>
      <c r="C46" s="49"/>
      <c r="D46" s="49"/>
      <c r="E46" s="43"/>
      <c r="F46" s="43"/>
      <c r="G46" s="43"/>
      <c r="H46" s="43"/>
      <c r="I46" s="44">
        <f t="shared" si="4"/>
        <v>0</v>
      </c>
      <c r="J46" s="45" t="e">
        <f t="shared" si="1"/>
        <v>#DIV/0!</v>
      </c>
      <c r="K46" s="45" t="e">
        <f t="shared" si="2"/>
        <v>#DIV/0!</v>
      </c>
    </row>
    <row r="47" spans="1:11" ht="15">
      <c r="A47" s="40">
        <v>35</v>
      </c>
      <c r="B47" s="41"/>
      <c r="C47" s="49"/>
      <c r="D47" s="49"/>
      <c r="E47" s="43"/>
      <c r="F47" s="43"/>
      <c r="G47" s="43"/>
      <c r="H47" s="43"/>
      <c r="I47" s="44">
        <f t="shared" si="4"/>
        <v>0</v>
      </c>
      <c r="J47" s="45" t="e">
        <f t="shared" si="1"/>
        <v>#DIV/0!</v>
      </c>
      <c r="K47" s="45" t="e">
        <f t="shared" si="2"/>
        <v>#DIV/0!</v>
      </c>
    </row>
    <row r="48" spans="1:11" ht="15">
      <c r="A48" s="40">
        <v>36</v>
      </c>
      <c r="B48" s="41"/>
      <c r="C48" s="49"/>
      <c r="D48" s="49"/>
      <c r="E48" s="43"/>
      <c r="F48" s="43"/>
      <c r="G48" s="43"/>
      <c r="H48" s="43"/>
      <c r="I48" s="44">
        <f t="shared" si="4"/>
        <v>0</v>
      </c>
      <c r="J48" s="45" t="e">
        <f t="shared" si="1"/>
        <v>#DIV/0!</v>
      </c>
      <c r="K48" s="45" t="e">
        <f t="shared" si="2"/>
        <v>#DIV/0!</v>
      </c>
    </row>
    <row r="49" spans="1:11" ht="15">
      <c r="A49" s="40">
        <v>37</v>
      </c>
      <c r="B49" s="41"/>
      <c r="C49" s="49"/>
      <c r="D49" s="49"/>
      <c r="E49" s="43"/>
      <c r="F49" s="43"/>
      <c r="G49" s="43"/>
      <c r="H49" s="43"/>
      <c r="I49" s="44">
        <f t="shared" si="4"/>
        <v>0</v>
      </c>
      <c r="J49" s="45" t="e">
        <f t="shared" si="1"/>
        <v>#DIV/0!</v>
      </c>
      <c r="K49" s="45" t="e">
        <f t="shared" si="2"/>
        <v>#DIV/0!</v>
      </c>
    </row>
    <row r="50" spans="1:11" ht="15">
      <c r="A50" s="40">
        <v>38</v>
      </c>
      <c r="B50" s="41"/>
      <c r="C50" s="49"/>
      <c r="D50" s="49"/>
      <c r="E50" s="43"/>
      <c r="F50" s="43"/>
      <c r="G50" s="43"/>
      <c r="H50" s="43"/>
      <c r="I50" s="44">
        <f t="shared" si="4"/>
        <v>0</v>
      </c>
      <c r="J50" s="45" t="e">
        <f t="shared" si="1"/>
        <v>#DIV/0!</v>
      </c>
      <c r="K50" s="45" t="e">
        <f t="shared" si="2"/>
        <v>#DIV/0!</v>
      </c>
    </row>
    <row r="51" spans="1:11" ht="15">
      <c r="A51" s="40">
        <v>39</v>
      </c>
      <c r="B51" s="41"/>
      <c r="C51" s="49"/>
      <c r="D51" s="49"/>
      <c r="E51" s="43"/>
      <c r="F51" s="43"/>
      <c r="G51" s="43"/>
      <c r="H51" s="43"/>
      <c r="I51" s="44">
        <f t="shared" si="4"/>
        <v>0</v>
      </c>
      <c r="J51" s="45" t="e">
        <f t="shared" si="1"/>
        <v>#DIV/0!</v>
      </c>
      <c r="K51" s="45" t="e">
        <f t="shared" si="2"/>
        <v>#DIV/0!</v>
      </c>
    </row>
    <row r="52" spans="1:11" ht="15">
      <c r="A52" s="40">
        <v>40</v>
      </c>
      <c r="B52" s="41"/>
      <c r="C52" s="49"/>
      <c r="D52" s="49"/>
      <c r="E52" s="43"/>
      <c r="F52" s="43"/>
      <c r="G52" s="43"/>
      <c r="H52" s="43"/>
      <c r="I52" s="44">
        <f t="shared" si="4"/>
        <v>0</v>
      </c>
      <c r="J52" s="45" t="e">
        <f t="shared" si="1"/>
        <v>#DIV/0!</v>
      </c>
      <c r="K52" s="45" t="e">
        <f t="shared" si="2"/>
        <v>#DIV/0!</v>
      </c>
    </row>
    <row r="53" spans="1:11" ht="15">
      <c r="A53" s="40">
        <v>41</v>
      </c>
      <c r="B53" s="41"/>
      <c r="C53" s="49"/>
      <c r="D53" s="49"/>
      <c r="E53" s="43"/>
      <c r="F53" s="43"/>
      <c r="G53" s="43"/>
      <c r="H53" s="43"/>
      <c r="I53" s="44">
        <f t="shared" si="4"/>
        <v>0</v>
      </c>
      <c r="J53" s="45" t="e">
        <f t="shared" si="1"/>
        <v>#DIV/0!</v>
      </c>
      <c r="K53" s="45" t="e">
        <f t="shared" si="2"/>
        <v>#DIV/0!</v>
      </c>
    </row>
    <row r="54" spans="1:11" ht="15">
      <c r="A54" s="40">
        <v>42</v>
      </c>
      <c r="B54" s="41"/>
      <c r="C54" s="49"/>
      <c r="D54" s="49"/>
      <c r="E54" s="43"/>
      <c r="F54" s="43"/>
      <c r="G54" s="43"/>
      <c r="H54" s="43"/>
      <c r="I54" s="44">
        <f t="shared" si="4"/>
        <v>0</v>
      </c>
      <c r="J54" s="45" t="e">
        <f t="shared" si="1"/>
        <v>#DIV/0!</v>
      </c>
      <c r="K54" s="45" t="e">
        <f t="shared" si="2"/>
        <v>#DIV/0!</v>
      </c>
    </row>
    <row r="55" spans="1:11" ht="15">
      <c r="A55" s="40">
        <v>43</v>
      </c>
      <c r="B55" s="41"/>
      <c r="C55" s="49"/>
      <c r="D55" s="49"/>
      <c r="E55" s="43"/>
      <c r="F55" s="43"/>
      <c r="G55" s="43"/>
      <c r="H55" s="43"/>
      <c r="I55" s="44">
        <f t="shared" si="4"/>
        <v>0</v>
      </c>
      <c r="J55" s="45" t="e">
        <f t="shared" si="1"/>
        <v>#DIV/0!</v>
      </c>
      <c r="K55" s="45" t="e">
        <f t="shared" si="2"/>
        <v>#DIV/0!</v>
      </c>
    </row>
    <row r="56" spans="1:11" ht="15">
      <c r="A56" s="40">
        <v>44</v>
      </c>
      <c r="B56" s="41"/>
      <c r="C56" s="49"/>
      <c r="D56" s="49"/>
      <c r="E56" s="43"/>
      <c r="F56" s="43"/>
      <c r="G56" s="43"/>
      <c r="H56" s="43"/>
      <c r="I56" s="44">
        <f t="shared" si="4"/>
        <v>0</v>
      </c>
      <c r="J56" s="45" t="e">
        <f t="shared" si="1"/>
        <v>#DIV/0!</v>
      </c>
      <c r="K56" s="45" t="e">
        <f t="shared" si="2"/>
        <v>#DIV/0!</v>
      </c>
    </row>
    <row r="57" spans="1:11" ht="15">
      <c r="A57" s="40">
        <v>45</v>
      </c>
      <c r="B57" s="41"/>
      <c r="C57" s="49"/>
      <c r="D57" s="49"/>
      <c r="E57" s="43"/>
      <c r="F57" s="43"/>
      <c r="G57" s="43"/>
      <c r="H57" s="43"/>
      <c r="I57" s="44">
        <f t="shared" si="4"/>
        <v>0</v>
      </c>
      <c r="J57" s="45" t="e">
        <f t="shared" si="1"/>
        <v>#DIV/0!</v>
      </c>
      <c r="K57" s="45" t="e">
        <f t="shared" si="2"/>
        <v>#DIV/0!</v>
      </c>
    </row>
    <row r="58" spans="1:11" ht="15">
      <c r="A58" s="40">
        <v>46</v>
      </c>
      <c r="B58" s="41"/>
      <c r="C58" s="49"/>
      <c r="D58" s="49"/>
      <c r="E58" s="43"/>
      <c r="F58" s="43"/>
      <c r="G58" s="43"/>
      <c r="H58" s="43"/>
      <c r="I58" s="44">
        <f t="shared" si="4"/>
        <v>0</v>
      </c>
      <c r="J58" s="45" t="e">
        <f t="shared" si="1"/>
        <v>#DIV/0!</v>
      </c>
      <c r="K58" s="45" t="e">
        <f t="shared" si="2"/>
        <v>#DIV/0!</v>
      </c>
    </row>
    <row r="59" spans="1:11" ht="15">
      <c r="A59" s="40">
        <v>47</v>
      </c>
      <c r="B59" s="41"/>
      <c r="C59" s="49"/>
      <c r="D59" s="49"/>
      <c r="E59" s="43"/>
      <c r="F59" s="43"/>
      <c r="G59" s="43"/>
      <c r="H59" s="43"/>
      <c r="I59" s="44">
        <f t="shared" si="4"/>
        <v>0</v>
      </c>
      <c r="J59" s="45" t="e">
        <f t="shared" si="1"/>
        <v>#DIV/0!</v>
      </c>
      <c r="K59" s="45" t="e">
        <f t="shared" si="2"/>
        <v>#DIV/0!</v>
      </c>
    </row>
    <row r="60" spans="1:11" ht="15">
      <c r="A60" s="40">
        <v>48</v>
      </c>
      <c r="B60" s="41"/>
      <c r="C60" s="49"/>
      <c r="D60" s="49"/>
      <c r="E60" s="43"/>
      <c r="F60" s="43"/>
      <c r="G60" s="43"/>
      <c r="H60" s="43"/>
      <c r="I60" s="44">
        <f t="shared" si="4"/>
        <v>0</v>
      </c>
      <c r="J60" s="45" t="e">
        <f t="shared" si="1"/>
        <v>#DIV/0!</v>
      </c>
      <c r="K60" s="45" t="e">
        <f t="shared" si="2"/>
        <v>#DIV/0!</v>
      </c>
    </row>
    <row r="61" spans="1:11" ht="15">
      <c r="A61" s="40">
        <v>49</v>
      </c>
      <c r="B61" s="41"/>
      <c r="C61" s="49"/>
      <c r="D61" s="49"/>
      <c r="E61" s="43"/>
      <c r="F61" s="43"/>
      <c r="G61" s="43"/>
      <c r="H61" s="43"/>
      <c r="I61" s="44">
        <f t="shared" si="4"/>
        <v>0</v>
      </c>
      <c r="J61" s="45" t="e">
        <f t="shared" si="1"/>
        <v>#DIV/0!</v>
      </c>
      <c r="K61" s="45" t="e">
        <f t="shared" si="2"/>
        <v>#DIV/0!</v>
      </c>
    </row>
    <row r="62" spans="1:11" ht="15">
      <c r="A62" s="40">
        <v>50</v>
      </c>
      <c r="B62" s="41"/>
      <c r="C62" s="49"/>
      <c r="D62" s="49"/>
      <c r="E62" s="43"/>
      <c r="F62" s="43"/>
      <c r="G62" s="43"/>
      <c r="H62" s="43"/>
      <c r="I62" s="44">
        <f t="shared" si="4"/>
        <v>0</v>
      </c>
      <c r="J62" s="45" t="e">
        <f t="shared" si="1"/>
        <v>#DIV/0!</v>
      </c>
      <c r="K62" s="45" t="e">
        <f t="shared" si="2"/>
        <v>#DIV/0!</v>
      </c>
    </row>
    <row r="63" spans="1:11" ht="15">
      <c r="A63" s="40">
        <v>51</v>
      </c>
      <c r="B63" s="41"/>
      <c r="C63" s="49"/>
      <c r="D63" s="49"/>
      <c r="E63" s="43"/>
      <c r="F63" s="43"/>
      <c r="G63" s="43"/>
      <c r="H63" s="43"/>
      <c r="I63" s="44">
        <f t="shared" si="4"/>
        <v>0</v>
      </c>
      <c r="J63" s="45" t="e">
        <f t="shared" si="1"/>
        <v>#DIV/0!</v>
      </c>
      <c r="K63" s="45" t="e">
        <f t="shared" si="2"/>
        <v>#DIV/0!</v>
      </c>
    </row>
    <row r="64" spans="1:11" ht="15">
      <c r="A64" s="40">
        <v>52</v>
      </c>
      <c r="B64" s="41"/>
      <c r="C64" s="49"/>
      <c r="D64" s="49"/>
      <c r="E64" s="43"/>
      <c r="F64" s="43"/>
      <c r="G64" s="43"/>
      <c r="H64" s="43"/>
      <c r="I64" s="44">
        <f t="shared" si="4"/>
        <v>0</v>
      </c>
      <c r="J64" s="45" t="e">
        <f t="shared" si="1"/>
        <v>#DIV/0!</v>
      </c>
      <c r="K64" s="45" t="e">
        <f t="shared" si="2"/>
        <v>#DIV/0!</v>
      </c>
    </row>
    <row r="65" spans="1:11" ht="15">
      <c r="A65" s="40">
        <v>53</v>
      </c>
      <c r="B65" s="41"/>
      <c r="C65" s="49"/>
      <c r="D65" s="49"/>
      <c r="E65" s="43"/>
      <c r="F65" s="43"/>
      <c r="G65" s="43"/>
      <c r="H65" s="43"/>
      <c r="I65" s="44">
        <f t="shared" si="4"/>
        <v>0</v>
      </c>
      <c r="J65" s="45" t="e">
        <f t="shared" si="1"/>
        <v>#DIV/0!</v>
      </c>
      <c r="K65" s="45" t="e">
        <f t="shared" si="2"/>
        <v>#DIV/0!</v>
      </c>
    </row>
    <row r="66" spans="1:11" ht="15">
      <c r="A66" s="40">
        <v>54</v>
      </c>
      <c r="B66" s="41"/>
      <c r="C66" s="49"/>
      <c r="D66" s="49"/>
      <c r="E66" s="43"/>
      <c r="F66" s="43"/>
      <c r="G66" s="43"/>
      <c r="H66" s="43"/>
      <c r="I66" s="44">
        <f t="shared" si="4"/>
        <v>0</v>
      </c>
      <c r="J66" s="45" t="e">
        <f t="shared" si="1"/>
        <v>#DIV/0!</v>
      </c>
      <c r="K66" s="45" t="e">
        <f t="shared" si="2"/>
        <v>#DIV/0!</v>
      </c>
    </row>
    <row r="67" spans="1:11" ht="15">
      <c r="A67" s="40">
        <v>55</v>
      </c>
      <c r="B67" s="41"/>
      <c r="C67" s="49"/>
      <c r="D67" s="49"/>
      <c r="E67" s="43"/>
      <c r="F67" s="43"/>
      <c r="G67" s="43"/>
      <c r="H67" s="43"/>
      <c r="I67" s="44">
        <f t="shared" si="4"/>
        <v>0</v>
      </c>
      <c r="J67" s="45" t="e">
        <f t="shared" si="1"/>
        <v>#DIV/0!</v>
      </c>
      <c r="K67" s="45" t="e">
        <f t="shared" si="2"/>
        <v>#DIV/0!</v>
      </c>
    </row>
    <row r="68" spans="1:11" ht="15">
      <c r="A68" s="40">
        <v>56</v>
      </c>
      <c r="B68" s="41"/>
      <c r="C68" s="49"/>
      <c r="D68" s="49"/>
      <c r="E68" s="43"/>
      <c r="F68" s="43"/>
      <c r="G68" s="43"/>
      <c r="H68" s="43"/>
      <c r="I68" s="44">
        <f t="shared" si="4"/>
        <v>0</v>
      </c>
      <c r="J68" s="45" t="e">
        <f t="shared" si="1"/>
        <v>#DIV/0!</v>
      </c>
      <c r="K68" s="45" t="e">
        <f t="shared" si="2"/>
        <v>#DIV/0!</v>
      </c>
    </row>
    <row r="69" spans="1:11" ht="15">
      <c r="A69" s="40">
        <v>57</v>
      </c>
      <c r="B69" s="41"/>
      <c r="C69" s="49"/>
      <c r="D69" s="49"/>
      <c r="E69" s="43"/>
      <c r="F69" s="43"/>
      <c r="G69" s="43"/>
      <c r="H69" s="43"/>
      <c r="I69" s="44">
        <f t="shared" si="4"/>
        <v>0</v>
      </c>
      <c r="J69" s="45" t="e">
        <f t="shared" si="1"/>
        <v>#DIV/0!</v>
      </c>
      <c r="K69" s="45" t="e">
        <f t="shared" si="2"/>
        <v>#DIV/0!</v>
      </c>
    </row>
    <row r="70" spans="1:11" ht="15">
      <c r="A70" s="40">
        <v>58</v>
      </c>
      <c r="B70" s="41"/>
      <c r="C70" s="49"/>
      <c r="D70" s="49"/>
      <c r="E70" s="43"/>
      <c r="F70" s="43"/>
      <c r="G70" s="43"/>
      <c r="H70" s="43"/>
      <c r="I70" s="44">
        <f t="shared" si="4"/>
        <v>0</v>
      </c>
      <c r="J70" s="45" t="e">
        <f t="shared" si="1"/>
        <v>#DIV/0!</v>
      </c>
      <c r="K70" s="45" t="e">
        <f t="shared" si="2"/>
        <v>#DIV/0!</v>
      </c>
    </row>
    <row r="71" spans="1:11" ht="15">
      <c r="A71" s="40">
        <v>59</v>
      </c>
      <c r="B71" s="41"/>
      <c r="C71" s="49"/>
      <c r="D71" s="49"/>
      <c r="E71" s="43"/>
      <c r="F71" s="43"/>
      <c r="G71" s="43"/>
      <c r="H71" s="43"/>
      <c r="I71" s="44">
        <f t="shared" si="4"/>
        <v>0</v>
      </c>
      <c r="J71" s="45" t="e">
        <f t="shared" si="1"/>
        <v>#DIV/0!</v>
      </c>
      <c r="K71" s="45" t="e">
        <f t="shared" si="2"/>
        <v>#DIV/0!</v>
      </c>
    </row>
    <row r="72" spans="1:11" ht="15">
      <c r="A72" s="40">
        <v>60</v>
      </c>
      <c r="B72" s="41"/>
      <c r="C72" s="49"/>
      <c r="D72" s="49"/>
      <c r="E72" s="43"/>
      <c r="F72" s="43"/>
      <c r="G72" s="43"/>
      <c r="H72" s="43"/>
      <c r="I72" s="44">
        <f t="shared" si="4"/>
        <v>0</v>
      </c>
      <c r="J72" s="45" t="e">
        <f t="shared" si="1"/>
        <v>#DIV/0!</v>
      </c>
      <c r="K72" s="45" t="e">
        <f t="shared" si="2"/>
        <v>#DIV/0!</v>
      </c>
    </row>
    <row r="73" spans="1:11" ht="15">
      <c r="A73" s="40">
        <v>61</v>
      </c>
      <c r="B73" s="49"/>
      <c r="C73" s="49"/>
      <c r="D73" s="49"/>
      <c r="E73" s="43"/>
      <c r="F73" s="43"/>
      <c r="G73" s="43"/>
      <c r="H73" s="43"/>
      <c r="I73" s="44">
        <f t="shared" si="4"/>
        <v>0</v>
      </c>
      <c r="J73" s="45" t="e">
        <f t="shared" si="1"/>
        <v>#DIV/0!</v>
      </c>
      <c r="K73" s="45" t="e">
        <f t="shared" si="2"/>
        <v>#DIV/0!</v>
      </c>
    </row>
    <row r="74" spans="1:11">
      <c r="A74" s="50" t="s">
        <v>99</v>
      </c>
      <c r="B74" s="51">
        <f>SUM(B13:B73)</f>
        <v>114.71620525571771</v>
      </c>
      <c r="C74" s="51">
        <f>SUM(C13:C73)</f>
        <v>139.54997124127948</v>
      </c>
      <c r="D74" s="51">
        <f>SUM(D13:D73)</f>
        <v>0</v>
      </c>
      <c r="E74" s="51">
        <f t="shared" ref="E74:I74" si="5">SUM(E13:E73)</f>
        <v>0</v>
      </c>
      <c r="F74" s="51">
        <f t="shared" si="5"/>
        <v>0</v>
      </c>
      <c r="G74" s="51">
        <f t="shared" si="5"/>
        <v>0</v>
      </c>
      <c r="H74" s="51">
        <f t="shared" si="5"/>
        <v>0</v>
      </c>
      <c r="I74" s="51">
        <f t="shared" si="5"/>
        <v>254.26617649699716</v>
      </c>
      <c r="J74" s="32"/>
    </row>
    <row r="75" spans="1:11">
      <c r="B75" s="25">
        <f>AVERAGE(B13:B28)</f>
        <v>3.7545690600696244</v>
      </c>
      <c r="C75" s="25">
        <f>AVERAGE(C13:C28)</f>
        <v>4.6306911080952302</v>
      </c>
    </row>
    <row r="83" spans="4:5" ht="15">
      <c r="D83" s="41">
        <v>78.87</v>
      </c>
      <c r="E83" s="41">
        <v>46.39</v>
      </c>
    </row>
    <row r="84" spans="4:5" ht="15">
      <c r="D84" s="41">
        <v>71.42</v>
      </c>
      <c r="E84" s="41">
        <v>42.57</v>
      </c>
    </row>
    <row r="85" spans="4:5" ht="15">
      <c r="D85" s="41">
        <v>58.45</v>
      </c>
      <c r="E85" s="41">
        <v>36.97</v>
      </c>
    </row>
    <row r="86" spans="4:5" ht="15">
      <c r="D86" s="41">
        <v>66.099999999999994</v>
      </c>
      <c r="E86" s="41">
        <v>36.86</v>
      </c>
    </row>
    <row r="87" spans="4:5" ht="15">
      <c r="D87" s="41">
        <v>68.819999999999993</v>
      </c>
      <c r="E87" s="41">
        <v>20.14</v>
      </c>
    </row>
    <row r="88" spans="4:5" ht="15">
      <c r="D88" s="41">
        <v>77.84</v>
      </c>
      <c r="E88" s="41">
        <v>53.62</v>
      </c>
    </row>
    <row r="89" spans="4:5" ht="15">
      <c r="D89" s="41">
        <v>64.84</v>
      </c>
      <c r="E89" s="41">
        <v>42.65</v>
      </c>
    </row>
    <row r="90" spans="4:5" ht="15">
      <c r="D90" s="41">
        <v>54.75</v>
      </c>
      <c r="E90" s="41">
        <v>39.58</v>
      </c>
    </row>
    <row r="91" spans="4:5" ht="15">
      <c r="D91" s="41">
        <v>48.02</v>
      </c>
      <c r="E91" s="41">
        <v>30.66</v>
      </c>
    </row>
    <row r="92" spans="4:5" ht="15">
      <c r="D92" s="41">
        <v>66.400000000000006</v>
      </c>
      <c r="E92" s="41">
        <v>37.32</v>
      </c>
    </row>
    <row r="93" spans="4:5" ht="15">
      <c r="D93" s="41">
        <v>70.52</v>
      </c>
      <c r="E93" s="41">
        <v>46.66</v>
      </c>
    </row>
    <row r="94" spans="4:5" ht="15">
      <c r="D94" s="41">
        <v>69.86</v>
      </c>
      <c r="E94" s="41">
        <v>35.14</v>
      </c>
    </row>
    <row r="95" spans="4:5" ht="15">
      <c r="D95" s="41">
        <v>73.44</v>
      </c>
      <c r="E95" s="41">
        <v>43.66</v>
      </c>
    </row>
    <row r="96" spans="4:5" ht="15">
      <c r="D96" s="41">
        <v>56.66</v>
      </c>
      <c r="E96" s="41">
        <v>30.18</v>
      </c>
    </row>
    <row r="97" spans="4:5" ht="15">
      <c r="D97" s="41">
        <v>57.66</v>
      </c>
      <c r="E97" s="41">
        <v>39.83</v>
      </c>
    </row>
    <row r="98" spans="4:5" ht="15">
      <c r="D98" s="41">
        <v>90.73</v>
      </c>
      <c r="E98" s="41">
        <v>44.46</v>
      </c>
    </row>
    <row r="99" spans="4:5" ht="15">
      <c r="D99" s="41">
        <v>62.51</v>
      </c>
      <c r="E99" s="41">
        <v>40.869999999999997</v>
      </c>
    </row>
    <row r="100" spans="4:5" ht="15">
      <c r="D100" s="41">
        <v>54.84</v>
      </c>
      <c r="E100" s="41">
        <v>34.5</v>
      </c>
    </row>
    <row r="101" spans="4:5" ht="15">
      <c r="D101" s="41">
        <v>63.74</v>
      </c>
      <c r="E101" s="41">
        <v>41.12</v>
      </c>
    </row>
    <row r="102" spans="4:5" ht="15">
      <c r="D102" s="41">
        <v>51.52</v>
      </c>
      <c r="E102" s="41">
        <v>33.299999999999997</v>
      </c>
    </row>
    <row r="103" spans="4:5" ht="15">
      <c r="D103" s="41">
        <v>71.819999999999993</v>
      </c>
      <c r="E103" s="41">
        <v>29.99</v>
      </c>
    </row>
    <row r="104" spans="4:5" ht="15">
      <c r="D104" s="41">
        <v>78.59</v>
      </c>
      <c r="E104" s="41">
        <v>44.15</v>
      </c>
    </row>
    <row r="105" spans="4:5" ht="15">
      <c r="D105" s="41">
        <v>60.08</v>
      </c>
      <c r="E105" s="41">
        <v>42.23</v>
      </c>
    </row>
    <row r="106" spans="4:5" ht="15">
      <c r="D106" s="41">
        <v>45.66</v>
      </c>
      <c r="E106" s="41">
        <v>38.22</v>
      </c>
    </row>
    <row r="107" spans="4:5" ht="15">
      <c r="D107" s="41">
        <v>48.07</v>
      </c>
      <c r="E107" s="41">
        <v>39.15</v>
      </c>
    </row>
    <row r="108" spans="4:5" ht="15">
      <c r="D108" s="41">
        <v>77.53</v>
      </c>
      <c r="E108" s="41">
        <v>41.2</v>
      </c>
    </row>
    <row r="109" spans="4:5" ht="15">
      <c r="D109" s="41">
        <v>70.38</v>
      </c>
      <c r="E109" s="41">
        <v>46.34</v>
      </c>
    </row>
    <row r="110" spans="4:5" ht="15">
      <c r="D110" s="41">
        <v>63.74</v>
      </c>
      <c r="E110" s="41">
        <v>34.950000000000003</v>
      </c>
    </row>
    <row r="111" spans="4:5" ht="15">
      <c r="D111" s="41">
        <v>56.27</v>
      </c>
      <c r="E111" s="41">
        <v>37.200000000000003</v>
      </c>
    </row>
    <row r="112" spans="4:5" ht="15">
      <c r="D112" s="41">
        <v>47.46</v>
      </c>
      <c r="E112" s="41">
        <v>28.57</v>
      </c>
    </row>
    <row r="113" spans="4:5" ht="15">
      <c r="D113" s="41">
        <v>54.02</v>
      </c>
      <c r="E113" s="41">
        <v>34.89</v>
      </c>
    </row>
    <row r="114" spans="4:5" ht="15">
      <c r="D114" s="41">
        <v>96.21</v>
      </c>
      <c r="E114" s="41">
        <v>47.96</v>
      </c>
    </row>
  </sheetData>
  <protectedRanges>
    <protectedRange sqref="H13:H73" name="values_3"/>
    <protectedRange sqref="E13:G73" name="values_1_1"/>
  </protectedRanges>
  <mergeCells count="3">
    <mergeCell ref="D8:E8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Original</vt:lpstr>
      <vt:lpstr>PHT</vt:lpstr>
      <vt:lpstr>SCY per plot</vt:lpstr>
      <vt:lpstr>SCY per plant</vt:lpstr>
      <vt:lpstr>Leaf area</vt:lpstr>
      <vt:lpstr>Sugar</vt:lpstr>
      <vt:lpstr>Na</vt:lpstr>
      <vt:lpstr>K</vt:lpstr>
      <vt:lpstr>KNA Corrected</vt:lpstr>
      <vt:lpstr>Final Table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2017-01-18T13:02:48Z</dcterms:modified>
</cp:coreProperties>
</file>